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hidePivotFieldList="1"/>
  <xr:revisionPtr revIDLastSave="0" documentId="13_ncr:1_{2158554A-0184-45C4-8220-EAE3B1C558F0}" xr6:coauthVersionLast="45" xr6:coauthVersionMax="45" xr10:uidLastSave="{00000000-0000-0000-0000-000000000000}"/>
  <bookViews>
    <workbookView xWindow="-120" yWindow="-120" windowWidth="24240" windowHeight="13140" firstSheet="3" activeTab="3" xr2:uid="{00000000-000D-0000-FFFF-FFFF00000000}"/>
  </bookViews>
  <sheets>
    <sheet name="Identifikacija" sheetId="9" r:id="rId1"/>
    <sheet name="Podaci" sheetId="1" r:id="rId2"/>
    <sheet name="PivotPom" sheetId="18" r:id="rId3"/>
    <sheet name="Zad1" sheetId="2" r:id="rId4"/>
    <sheet name="Zad2" sheetId="3" r:id="rId5"/>
    <sheet name="Zad3" sheetId="5" r:id="rId6"/>
    <sheet name="Zad4" sheetId="6" r:id="rId7"/>
    <sheet name="Zad5" sheetId="7" r:id="rId8"/>
    <sheet name="Zad6" sheetId="14" r:id="rId9"/>
    <sheet name="Zad7" sheetId="15" r:id="rId10"/>
    <sheet name="Zad8" sheetId="16" r:id="rId11"/>
    <sheet name="Zad9" sheetId="17" r:id="rId12"/>
  </sheets>
  <definedNames>
    <definedName name="_xlnm._FilterDatabase" localSheetId="1" hidden="1">Podaci!#REF!</definedName>
  </definedNames>
  <calcPr calcId="191029"/>
  <pivotCaches>
    <pivotCache cacheId="1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1" i="17" l="1"/>
  <c r="E20" i="17"/>
  <c r="D10" i="17"/>
  <c r="E19" i="17"/>
  <c r="E18" i="17"/>
  <c r="E17" i="17"/>
  <c r="E16" i="17"/>
  <c r="G14" i="16" l="1"/>
  <c r="D38" i="15"/>
  <c r="D11" i="17" l="1"/>
  <c r="E18" i="16"/>
  <c r="F14" i="16" a="1"/>
  <c r="F14" i="16" s="1"/>
  <c r="E17" i="16"/>
  <c r="E16" i="16"/>
  <c r="E15" i="16"/>
  <c r="E14" i="16"/>
  <c r="D18" i="16"/>
  <c r="D17" i="16"/>
  <c r="D16" i="16"/>
  <c r="D15" i="16"/>
  <c r="D14" i="16"/>
  <c r="N14" i="16"/>
  <c r="N15" i="16"/>
  <c r="N16" i="16"/>
  <c r="D31" i="15"/>
  <c r="G15" i="16" l="1"/>
  <c r="F18" i="16"/>
  <c r="F16" i="16"/>
  <c r="F15" i="16"/>
  <c r="F17" i="16"/>
  <c r="F19" i="16" s="1"/>
  <c r="N17" i="16"/>
  <c r="N18" i="16" s="1"/>
  <c r="M25" i="16" s="1"/>
  <c r="G18" i="16" l="1"/>
  <c r="M24" i="16"/>
  <c r="M23" i="16"/>
  <c r="G17" i="16"/>
  <c r="M22" i="16"/>
  <c r="G16" i="16"/>
  <c r="G19" i="16" s="1"/>
  <c r="F6" i="16" s="1"/>
  <c r="J16" i="15"/>
  <c r="J15" i="15"/>
  <c r="E24" i="15"/>
  <c r="H14" i="16" l="1"/>
  <c r="H18" i="16"/>
  <c r="H16" i="16"/>
  <c r="H17" i="16"/>
  <c r="H15" i="16"/>
  <c r="E16" i="15"/>
  <c r="E15" i="15"/>
  <c r="H19" i="16" l="1"/>
  <c r="F7" i="16" s="1"/>
  <c r="F8" i="16" s="1"/>
  <c r="F9" i="16" s="1"/>
  <c r="E59" i="7"/>
  <c r="F59" i="7"/>
  <c r="G59" i="7"/>
  <c r="D59" i="7"/>
  <c r="E58" i="7"/>
  <c r="F58" i="7"/>
  <c r="G58" i="7"/>
  <c r="D58" i="7"/>
  <c r="D47" i="7"/>
  <c r="D45" i="7"/>
  <c r="D44" i="7"/>
  <c r="D43" i="7"/>
  <c r="J35" i="7"/>
  <c r="H35" i="7"/>
  <c r="F35" i="7"/>
  <c r="D35" i="7"/>
  <c r="O30" i="7"/>
  <c r="J34" i="7"/>
  <c r="C13" i="7" a="1"/>
  <c r="C13" i="7" s="1"/>
  <c r="G67" i="6"/>
  <c r="C26" i="6" a="1"/>
  <c r="C26" i="6" s="1"/>
  <c r="D17" i="6"/>
  <c r="D18" i="6"/>
  <c r="D19" i="6"/>
  <c r="D20" i="6"/>
  <c r="D21" i="6"/>
  <c r="D22" i="6"/>
  <c r="D23" i="6"/>
  <c r="D16" i="6"/>
  <c r="D30" i="5"/>
  <c r="D29" i="5"/>
  <c r="J25" i="5"/>
  <c r="H26" i="5"/>
  <c r="H24" i="5"/>
  <c r="O19" i="5"/>
  <c r="M20" i="5"/>
  <c r="M18" i="5"/>
  <c r="I15" i="5"/>
  <c r="D15" i="5"/>
  <c r="D16" i="5"/>
  <c r="D17" i="5"/>
  <c r="D18" i="5"/>
  <c r="D19" i="5"/>
  <c r="D20" i="5"/>
  <c r="D21" i="5"/>
  <c r="D14" i="5"/>
  <c r="H17" i="3"/>
  <c r="H16" i="3"/>
  <c r="D14" i="3"/>
  <c r="D13" i="3"/>
  <c r="F29" i="2"/>
  <c r="D16" i="2"/>
  <c r="E16" i="2"/>
  <c r="D17" i="2"/>
  <c r="E17" i="2"/>
  <c r="E15" i="2"/>
  <c r="D15" i="2"/>
  <c r="D16" i="7" l="1"/>
  <c r="F15" i="7"/>
  <c r="D15" i="7"/>
  <c r="D14" i="7"/>
  <c r="E15" i="7"/>
  <c r="C15" i="7"/>
  <c r="F17" i="7"/>
  <c r="E17" i="7"/>
  <c r="C17" i="7"/>
  <c r="C14" i="7"/>
  <c r="F16" i="7"/>
  <c r="C16" i="7"/>
  <c r="F14" i="7"/>
  <c r="E14" i="7"/>
  <c r="D17" i="7"/>
  <c r="F13" i="7"/>
  <c r="E16" i="7"/>
  <c r="E13" i="7"/>
  <c r="D13" i="7"/>
  <c r="C29" i="6"/>
  <c r="C27" i="6"/>
  <c r="D30" i="6"/>
  <c r="C30" i="6"/>
  <c r="D29" i="6"/>
  <c r="D28" i="6"/>
  <c r="C28" i="6"/>
  <c r="D27" i="6"/>
  <c r="D26" i="6"/>
  <c r="G29" i="2"/>
  <c r="D9" i="17" l="1"/>
  <c r="D8" i="17"/>
  <c r="D7" i="17"/>
  <c r="D6" i="17"/>
  <c r="O17" i="9" l="1"/>
  <c r="F5" i="2"/>
  <c r="F6" i="2"/>
  <c r="F7" i="2"/>
  <c r="D8" i="2"/>
  <c r="F8" i="2" s="1"/>
  <c r="E8" i="2"/>
  <c r="E25" i="2" l="1"/>
  <c r="E24" i="2"/>
  <c r="K18" i="9"/>
  <c r="L18" i="9"/>
  <c r="M18" i="9"/>
  <c r="N17" i="9"/>
  <c r="D24" i="2" l="1"/>
  <c r="F24" i="2" s="1"/>
  <c r="F16" i="2"/>
  <c r="D25" i="2"/>
  <c r="F25" i="2" s="1"/>
  <c r="F17" i="2"/>
  <c r="F15" i="2"/>
  <c r="D23" i="2"/>
  <c r="D18" i="2"/>
  <c r="E23" i="2"/>
  <c r="E26" i="2" s="1"/>
  <c r="E18" i="2"/>
  <c r="J18" i="9"/>
  <c r="I18" i="9"/>
  <c r="H18" i="9"/>
  <c r="G18" i="9"/>
  <c r="F18" i="9"/>
  <c r="E18" i="9"/>
  <c r="F18" i="2" l="1"/>
  <c r="F23" i="2"/>
  <c r="F26" i="2" s="1"/>
  <c r="F28" i="2" s="1"/>
  <c r="D26" i="2"/>
  <c r="O18" i="9"/>
  <c r="N18" i="9"/>
</calcChain>
</file>

<file path=xl/sharedStrings.xml><?xml version="1.0" encoding="utf-8"?>
<sst xmlns="http://schemas.openxmlformats.org/spreadsheetml/2006/main" count="682" uniqueCount="227">
  <si>
    <t>Max</t>
  </si>
  <si>
    <t>Univerzitet "Džemal Bijedić" u Mostaru</t>
  </si>
  <si>
    <t>Datum ispita:</t>
  </si>
  <si>
    <t>Index</t>
  </si>
  <si>
    <t>Prezime</t>
  </si>
  <si>
    <t>Ime</t>
  </si>
  <si>
    <t>Podaci o ispitu</t>
  </si>
  <si>
    <t>Zadatak 2</t>
  </si>
  <si>
    <t>Zadatak 3</t>
  </si>
  <si>
    <t>Zadatak 4</t>
  </si>
  <si>
    <t>Ukupno</t>
  </si>
  <si>
    <t>Bodova</t>
  </si>
  <si>
    <t>Zad1</t>
  </si>
  <si>
    <t>Zad2</t>
  </si>
  <si>
    <t>Zad3</t>
  </si>
  <si>
    <t>Zad4</t>
  </si>
  <si>
    <t>Zad5</t>
  </si>
  <si>
    <t>Zad6</t>
  </si>
  <si>
    <t>Zadatak 1</t>
  </si>
  <si>
    <t>Zadatak 5</t>
  </si>
  <si>
    <t>Zadatak 6</t>
  </si>
  <si>
    <t>NE PISATI U PLAVO OBOJENA POLJA NI NA JEDNOM RADNOM LISTU!</t>
  </si>
  <si>
    <t>Godina</t>
  </si>
  <si>
    <t>Podaci o studentu (u žuto obojena polja upisati svoje podatke i NE proširivati polja ni kolone):</t>
  </si>
  <si>
    <t>Muški</t>
  </si>
  <si>
    <t>Ženski</t>
  </si>
  <si>
    <t>Narkoman</t>
  </si>
  <si>
    <t>Nepoznato</t>
  </si>
  <si>
    <t>Transfuzija</t>
  </si>
  <si>
    <t>Postaviti hipotezu i testirati je.</t>
  </si>
  <si>
    <t>Na ovom radnom listu sastaviti PIVOT tabele iz kojih će se moći odgovoriti na sljedeća pitanja:</t>
  </si>
  <si>
    <t>Zadatak 7</t>
  </si>
  <si>
    <t>Obrazložiti odgovore!</t>
  </si>
  <si>
    <t>Razrednu sredinu</t>
  </si>
  <si>
    <t>Razrednu varijansu</t>
  </si>
  <si>
    <t>Razrednu standardnu devijaciju</t>
  </si>
  <si>
    <t>Koeficijent varijacije</t>
  </si>
  <si>
    <t>Sredina razreda</t>
  </si>
  <si>
    <t>Referentna vrijednost</t>
  </si>
  <si>
    <t>xi</t>
  </si>
  <si>
    <t>fi</t>
  </si>
  <si>
    <t>Zadatak 8</t>
  </si>
  <si>
    <t>Sredina</t>
  </si>
  <si>
    <t>Standardna devijacija</t>
  </si>
  <si>
    <t>Zadatak 9</t>
  </si>
  <si>
    <t>Zad7</t>
  </si>
  <si>
    <t>Zad8</t>
  </si>
  <si>
    <t>Zad9</t>
  </si>
  <si>
    <t>Vrijednost</t>
  </si>
  <si>
    <t>Parc2</t>
  </si>
  <si>
    <t>27.6.2019.</t>
  </si>
  <si>
    <t>Fakultet informacijskih tehnologija</t>
  </si>
  <si>
    <t>Primijenjena statistika</t>
  </si>
  <si>
    <t>Vrsta voća</t>
  </si>
  <si>
    <t>Tok</t>
  </si>
  <si>
    <t>Iznos (USD)</t>
  </si>
  <si>
    <t>Težina (kg)</t>
  </si>
  <si>
    <t>Cijena/Kg</t>
  </si>
  <si>
    <t>Bostan</t>
  </si>
  <si>
    <t>Izvoz</t>
  </si>
  <si>
    <t>Jabuke</t>
  </si>
  <si>
    <t>Kajsije</t>
  </si>
  <si>
    <t>Šljive</t>
  </si>
  <si>
    <t>Trešnje</t>
  </si>
  <si>
    <t>Kruške</t>
  </si>
  <si>
    <t>Grožđe</t>
  </si>
  <si>
    <t>Breskve</t>
  </si>
  <si>
    <t>Jagode</t>
  </si>
  <si>
    <t>Šumsko voće</t>
  </si>
  <si>
    <t>Smokve</t>
  </si>
  <si>
    <t>Uvoz</t>
  </si>
  <si>
    <t>Na radnom listu Podaci su dati podaci o uvozu i izvozu voća za BiH od 2010. do 2017. godine.</t>
  </si>
  <si>
    <t>Kakko se kretala cijena svih vrsta voća po izvozu i uvozu?</t>
  </si>
  <si>
    <t>Kakko se kretala prosječna cijena svih vrsta voća po izvozu i uvozu za 2012. i 2015. godinu? (jedna tabela)</t>
  </si>
  <si>
    <r>
      <t xml:space="preserve">Ako se pretpostavi da se pod normalnom cijenom smatra srednjih </t>
    </r>
    <r>
      <rPr>
        <b/>
        <sz val="11"/>
        <color theme="1"/>
        <rFont val="Calibri"/>
        <family val="2"/>
        <scheme val="minor"/>
      </rPr>
      <t>45%</t>
    </r>
    <r>
      <rPr>
        <sz val="11"/>
        <color theme="1"/>
        <rFont val="Calibri"/>
        <family val="2"/>
        <scheme val="minor"/>
      </rPr>
      <t xml:space="preserve"> vrijednosti, koje su granice normalne cijene po kg iz dobijenih podataka?</t>
    </r>
  </si>
  <si>
    <t>Koja vrijednost predstavlja srednji iznos?</t>
  </si>
  <si>
    <t>Koja je granica koja označava 9% najjeftinijeg voća?</t>
  </si>
  <si>
    <t>Koja je granica koja označava 13% najskupljeg voća?</t>
  </si>
  <si>
    <t>Frekvencija</t>
  </si>
  <si>
    <t>Razredi cijena</t>
  </si>
  <si>
    <t>Za tako sortirani uzorak izračunati:</t>
  </si>
  <si>
    <t>Koeficijent asimetrije</t>
  </si>
  <si>
    <t>Koeficijent spljoštenosti</t>
  </si>
  <si>
    <t>97% interval povjerenja</t>
  </si>
  <si>
    <t>Obrazloženje</t>
  </si>
  <si>
    <t xml:space="preserve">Podijeliti cijenu po kg u pet razreda: veoma jeftino, jeftino, srednje, skupo i veoma skupo voće i izračunati frekvencije primjenom naredbe FREQUENCY. </t>
  </si>
  <si>
    <t>NAPRAVITI 5 RAZREDA!</t>
  </si>
  <si>
    <t>Column Labels</t>
  </si>
  <si>
    <t>(blank)</t>
  </si>
  <si>
    <t>Grand Total</t>
  </si>
  <si>
    <t>Row Labels</t>
  </si>
  <si>
    <t>U tabeli su prikazani podaci o načinu zaraze pacijenata u zavisnosti od pola. Direktora bolince zanima postoje li statistički značajne razlike.</t>
  </si>
  <si>
    <t>Sum of Iznos (USD)</t>
  </si>
  <si>
    <t>U ovom zadatku koristiti podatke sa radnog lista PivotPom.</t>
  </si>
  <si>
    <t>U ovom zadatku koristiti podatke sa radnog lista PivotPom i odgovoriti na pitanje:</t>
  </si>
  <si>
    <t xml:space="preserve">NE KOPIRATI PODATKE NA OVAJ RADNI LIST!!! </t>
  </si>
  <si>
    <t>Ukoliko na radnom listu piše NE KOPIRATI PODATKE NA OVAJ RADNI LIST!!!, ako se podaci kopiraju, neće se bodovati zadatak.</t>
  </si>
  <si>
    <t>Primjenom funkcije PERCENTILE izračunati traženo i odgovoriti na sljedeća pitanja:</t>
  </si>
  <si>
    <t>Variraju li različito godišnji iznosi uvoza bostana, breskvi i grožđa?</t>
  </si>
  <si>
    <t>Postaviti hipoteze i detaljno obrazložiti odgovor.</t>
  </si>
  <si>
    <t>Za cijenu po kg direktno iz podataka (primjenom ugrađenih formula) izračunati tražene statistike i detaljno obrazložiti dobijene vrijednosti:</t>
  </si>
  <si>
    <t>Uporediti vrijednosti sa onima dobijenim u Zad 8 i detaljno obrazložiti.</t>
  </si>
  <si>
    <t>Postoji li statistički značajna razlika između prosječnih godišnjih iznosa uvoza bostana, breskvi i grožđa?</t>
  </si>
  <si>
    <t>Trgovinski deficit je razlika između iznosa izvoza i uvoza određene robe.</t>
  </si>
  <si>
    <t>Na posebnom grafikonu provjeriti postoji li neki drugi trend koji bolje opisuje podatke.</t>
  </si>
  <si>
    <t>Na ovom radnom listu izračunati trgovinski deficit za jabuke po godinama, odrediti jednačinu linearnog trenda i prikazati je grafički.</t>
  </si>
  <si>
    <t>Procijeniti vrijednost trgovinskog deficita za 2019. godinu.</t>
  </si>
  <si>
    <t>DETALJNO OBRAZLOŽITI DOBIJENE REZULTATE!</t>
  </si>
  <si>
    <t>Postaviti jednačinu populacije.</t>
  </si>
  <si>
    <t>Testirati pouzdanost parametara i regresije.</t>
  </si>
  <si>
    <t>Detaljno obrazložiti.</t>
  </si>
  <si>
    <t>Odrediti jednačinu ukupnog iznosa izvoza u zavisnosti od iznosa izvoza šumskog voća, smokava i bostana po godinama.</t>
  </si>
  <si>
    <t>Average of Iznos (USD)</t>
  </si>
  <si>
    <t>Empirijski hi-kvadrat</t>
  </si>
  <si>
    <t>Teorijski hi-kvadrat</t>
  </si>
  <si>
    <t>Hi-kvadrat</t>
  </si>
  <si>
    <t>Zaključak: Kako je vrijednost empirijskog hi-kvadrata veća od vrijednosti teorijskog, H0 se ne može prihvatiti. To znači da se varijanse uzoraka statistički značajno razlikuju sa pragom značajnosti 0.05</t>
  </si>
  <si>
    <r>
      <rPr>
        <b/>
        <sz val="11"/>
        <color theme="1"/>
        <rFont val="Calibri"/>
        <family val="2"/>
        <scheme val="minor"/>
      </rPr>
      <t>Obrazloženje postupka</t>
    </r>
    <r>
      <rPr>
        <sz val="11"/>
        <color theme="1"/>
        <rFont val="Calibri"/>
        <family val="2"/>
        <scheme val="minor"/>
      </rPr>
      <t>: Koristimo Hi-kvadrat test pomoću tabele kontingencije kako bismo testirali H0.</t>
    </r>
  </si>
  <si>
    <t>Očekivane vrijednosti</t>
  </si>
  <si>
    <r>
      <rPr>
        <b/>
        <sz val="11"/>
        <color theme="1"/>
        <rFont val="Calibri"/>
        <family val="2"/>
        <scheme val="minor"/>
      </rPr>
      <t>Obrazloženje postupka</t>
    </r>
    <r>
      <rPr>
        <sz val="11"/>
        <color theme="1"/>
        <rFont val="Calibri"/>
        <family val="2"/>
        <scheme val="minor"/>
      </rPr>
      <t>: Koristimo F-test za poređenje dvije varijanse i testiranje održivosti hipoteze.</t>
    </r>
  </si>
  <si>
    <t xml:space="preserve">Varijansa breskvi: </t>
  </si>
  <si>
    <t>Varijansa bostana:</t>
  </si>
  <si>
    <t>Podijelimo veću varijansu manjom i dobijemo empirijsko F:</t>
  </si>
  <si>
    <t>Teorijsko F:</t>
  </si>
  <si>
    <r>
      <rPr>
        <b/>
        <sz val="11"/>
        <color theme="1"/>
        <rFont val="Calibri"/>
        <family val="2"/>
        <scheme val="minor"/>
      </rPr>
      <t>Zaključak</t>
    </r>
    <r>
      <rPr>
        <sz val="11"/>
        <color theme="1"/>
        <rFont val="Calibri"/>
        <family val="2"/>
        <scheme val="minor"/>
      </rPr>
      <t>: Kako je vrijednost empirijskog F manja od vrijednosti teorijskog, to se H0 može prihvatiti, odnosno, godišnji iznosi uvoza bostana i breskvi ne variraju statistički značajno.</t>
    </r>
  </si>
  <si>
    <r>
      <rPr>
        <b/>
        <sz val="11"/>
        <color theme="1"/>
        <rFont val="Calibri"/>
        <family val="2"/>
        <scheme val="minor"/>
      </rPr>
      <t>H0</t>
    </r>
    <r>
      <rPr>
        <sz val="11"/>
        <color theme="1"/>
        <rFont val="Calibri"/>
        <family val="2"/>
        <scheme val="minor"/>
      </rPr>
      <t>: Godišnji iznosi uvoza bostana i breskvi ne variraju statistički značajno na nivou sigurnosti 5%.</t>
    </r>
  </si>
  <si>
    <r>
      <rPr>
        <b/>
        <sz val="11"/>
        <color theme="1"/>
        <rFont val="Calibri"/>
        <family val="2"/>
        <scheme val="minor"/>
      </rPr>
      <t>H0</t>
    </r>
    <r>
      <rPr>
        <sz val="11"/>
        <color theme="1"/>
        <rFont val="Calibri"/>
        <family val="2"/>
        <scheme val="minor"/>
      </rPr>
      <t>: Varijanse uzoraka se ne razlikuju statistički značajno na nivou sigurnosti 5%.</t>
    </r>
  </si>
  <si>
    <r>
      <rPr>
        <b/>
        <sz val="11"/>
        <color theme="1"/>
        <rFont val="Calibri"/>
        <family val="2"/>
        <scheme val="minor"/>
      </rPr>
      <t>Obrazloženje postupka</t>
    </r>
    <r>
      <rPr>
        <sz val="11"/>
        <color theme="1"/>
        <rFont val="Calibri"/>
        <family val="2"/>
        <scheme val="minor"/>
      </rPr>
      <t>: Koristimo t-test za poređenje prosječnih godišnjih iznosa uvoza.</t>
    </r>
  </si>
  <si>
    <r>
      <rPr>
        <b/>
        <sz val="11"/>
        <color theme="1"/>
        <rFont val="Calibri"/>
        <family val="2"/>
        <scheme val="minor"/>
      </rPr>
      <t>H0</t>
    </r>
    <r>
      <rPr>
        <sz val="11"/>
        <color theme="1"/>
        <rFont val="Calibri"/>
        <family val="2"/>
        <scheme val="minor"/>
      </rPr>
      <t>: Ne postoji statistički značajna razlika između prosječnih godišnjih iznosa uvoza bostana i breskvi na nivou sigurnosti 5%.</t>
    </r>
  </si>
  <si>
    <t>Empirijsko t =</t>
  </si>
  <si>
    <t>------------------------------------</t>
  </si>
  <si>
    <t>prosječna vrijednost razlika</t>
  </si>
  <si>
    <t>standardna greška te razlike</t>
  </si>
  <si>
    <t>=</t>
  </si>
  <si>
    <t>Razlika</t>
  </si>
  <si>
    <t>Prosječna vrijednost razlika:</t>
  </si>
  <si>
    <t>Standardna greška razlike =</t>
  </si>
  <si>
    <t>Standardna devijacija razlika</t>
  </si>
  <si>
    <t>SQRT(n)</t>
  </si>
  <si>
    <t>-----------</t>
  </si>
  <si>
    <t>Empirijsko t:</t>
  </si>
  <si>
    <t>Teorijsko t:</t>
  </si>
  <si>
    <r>
      <rPr>
        <b/>
        <sz val="11"/>
        <color theme="1"/>
        <rFont val="Calibri"/>
        <family val="2"/>
        <scheme val="minor"/>
      </rPr>
      <t>Zaključak:</t>
    </r>
    <r>
      <rPr>
        <sz val="11"/>
        <color theme="1"/>
        <rFont val="Calibri"/>
        <family val="2"/>
        <scheme val="minor"/>
      </rPr>
      <t xml:space="preserve"> Kako je vrijednost empirijskog t veća od vrijednosti teorijskog, to se H0 ne može prihvatiti, odnosno, postoji statistički značajna razlika između prosječnih godišnjih iznosa uvoza bostana i breskvi na nivou sigurnosti 5%.</t>
    </r>
  </si>
  <si>
    <t>Trgovinski deficit</t>
  </si>
  <si>
    <t>Godine</t>
  </si>
  <si>
    <t>a</t>
  </si>
  <si>
    <t>b</t>
  </si>
  <si>
    <t>Koeficijenti</t>
  </si>
  <si>
    <t>SE</t>
  </si>
  <si>
    <t>F, df</t>
  </si>
  <si>
    <t>R2, SEy</t>
  </si>
  <si>
    <t>SSreg, SSresid</t>
  </si>
  <si>
    <t>y = ax + b</t>
  </si>
  <si>
    <t>Napomena: Trgovinski deficit ćemo u jednačini linearne regresije označiti sa D.</t>
  </si>
  <si>
    <t>Jednačina linearne regresije:</t>
  </si>
  <si>
    <t>D = 543089 * Godina - 1096189844</t>
  </si>
  <si>
    <t>Grafički prikaz</t>
  </si>
  <si>
    <t>Provjera da li neki drugi trend bolje opisuje podatke</t>
  </si>
  <si>
    <r>
      <rPr>
        <b/>
        <sz val="11"/>
        <color theme="1"/>
        <rFont val="Calibri"/>
        <family val="2"/>
        <scheme val="minor"/>
      </rPr>
      <t>Zaključak:</t>
    </r>
    <r>
      <rPr>
        <sz val="11"/>
        <color theme="1"/>
        <rFont val="Calibri"/>
        <family val="2"/>
        <scheme val="minor"/>
      </rPr>
      <t xml:space="preserve"> Vodeći se koeficijentom determinacije (R2) zaključujemo da polinomni trend najbolje opisuje podatke.</t>
    </r>
  </si>
  <si>
    <t>Procjena trgovinskog deficita za 2019. godinu:</t>
  </si>
  <si>
    <r>
      <rPr>
        <b/>
        <sz val="11"/>
        <color theme="1"/>
        <rFont val="Calibri"/>
        <family val="2"/>
        <scheme val="minor"/>
      </rPr>
      <t>Obrazloženje:</t>
    </r>
    <r>
      <rPr>
        <sz val="11"/>
        <color theme="1"/>
        <rFont val="Calibri"/>
        <family val="2"/>
        <scheme val="minor"/>
      </rPr>
      <t xml:space="preserve"> U jednačinu linearne regresije uvrstimo godinu 2019 i dobijemo sljedeću procjenu:</t>
    </r>
  </si>
  <si>
    <t>Ukupni izvoz:</t>
  </si>
  <si>
    <t>Ssreg,Ssresid</t>
  </si>
  <si>
    <t>Bostan (B)</t>
  </si>
  <si>
    <t>Smokve (S)</t>
  </si>
  <si>
    <t>Šumsko voće (ŠV)</t>
  </si>
  <si>
    <t>b (sl. član)</t>
  </si>
  <si>
    <t>Jednačina višestruke regresije:</t>
  </si>
  <si>
    <r>
      <rPr>
        <b/>
        <sz val="11"/>
        <color theme="1"/>
        <rFont val="Calibri"/>
        <family val="2"/>
        <scheme val="minor"/>
      </rPr>
      <t>Napomena</t>
    </r>
    <r>
      <rPr>
        <sz val="11"/>
        <color theme="1"/>
        <rFont val="Calibri"/>
        <family val="2"/>
        <scheme val="minor"/>
      </rPr>
      <t>: Ukupni iznos izvoza ćemo u jednačini višestruke regresije označiti sa U.</t>
    </r>
  </si>
  <si>
    <t>U = -20,44*B - 79,55*S + 4,4*ŠV + 29285478,8</t>
  </si>
  <si>
    <r>
      <rPr>
        <b/>
        <sz val="11"/>
        <color theme="1"/>
        <rFont val="Calibri"/>
        <family val="2"/>
        <scheme val="minor"/>
      </rPr>
      <t>Pojašnjenje:</t>
    </r>
    <r>
      <rPr>
        <sz val="11"/>
        <color theme="1"/>
        <rFont val="Calibri"/>
        <family val="2"/>
        <scheme val="minor"/>
      </rPr>
      <t xml:space="preserve"> Svake godine se trgovinski deficit poveća u prosjeku za 543089 USD.</t>
    </r>
  </si>
  <si>
    <t xml:space="preserve">Pojašnjenje: </t>
  </si>
  <si>
    <t>Ukoliko se vrijednost izvoza bostana poveća za 1 USD, a ostali parametri ostanu nepromijenjeni, ukupan iznos izvoza će se smanjiti za 20,44 USD.</t>
  </si>
  <si>
    <t>Ukoliko se vrijednost izvoza smokvi poveća za 1 USD, a ostali parametri ostanu nepromijenjeni, ukupan iznos izvoza će se smanjiti za 79,55 USD.</t>
  </si>
  <si>
    <t>Ukoliko se vrijednost izvoza šumskog voća poveća za 1 USD, a ostali parametri ostanu nepromijenjeni, ukupan iznos izvoza će se povećati za 4,4 USD.</t>
  </si>
  <si>
    <t>Jednačina populacije:</t>
  </si>
  <si>
    <t>U=</t>
  </si>
  <si>
    <t>B -</t>
  </si>
  <si>
    <t>S +</t>
  </si>
  <si>
    <t>ŠV +</t>
  </si>
  <si>
    <t>±</t>
  </si>
  <si>
    <t>Računamo referentno t za potrebe jednačine populacije (potrebno je pomnožiti referentno t sa standardnom greškom svakog parametra):</t>
  </si>
  <si>
    <t>Ispitivanje pouzdanosti regresije:</t>
  </si>
  <si>
    <t>Femp</t>
  </si>
  <si>
    <t>v1</t>
  </si>
  <si>
    <t>v2</t>
  </si>
  <si>
    <t>Fteor</t>
  </si>
  <si>
    <r>
      <rPr>
        <b/>
        <sz val="11"/>
        <color theme="1"/>
        <rFont val="Calibri"/>
        <family val="2"/>
        <scheme val="minor"/>
      </rPr>
      <t>Zaključak:</t>
    </r>
    <r>
      <rPr>
        <sz val="11"/>
        <color theme="1"/>
        <rFont val="Calibri"/>
        <family val="2"/>
        <scheme val="minor"/>
      </rPr>
      <t xml:space="preserve"> Kako je vrijednost empirijskog F veća od vrijednosti teorijskog, to regresioni model nije pouzdan.</t>
    </r>
  </si>
  <si>
    <r>
      <rPr>
        <b/>
        <sz val="11"/>
        <color theme="1"/>
        <rFont val="Calibri"/>
        <family val="2"/>
        <scheme val="minor"/>
      </rPr>
      <t>Pojašnjenje postupka:</t>
    </r>
    <r>
      <rPr>
        <sz val="11"/>
        <color theme="1"/>
        <rFont val="Calibri"/>
        <family val="2"/>
        <scheme val="minor"/>
      </rPr>
      <t xml:space="preserve"> Koristimo F-test za ispitivanje pouzdanosti regresije.</t>
    </r>
  </si>
  <si>
    <t>Ispitivanje pouzdanosti parametara:</t>
  </si>
  <si>
    <r>
      <rPr>
        <b/>
        <sz val="11"/>
        <color theme="1"/>
        <rFont val="Calibri"/>
        <family val="2"/>
        <scheme val="minor"/>
      </rPr>
      <t>Pojašnjenje postupka:</t>
    </r>
    <r>
      <rPr>
        <sz val="11"/>
        <color theme="1"/>
        <rFont val="Calibri"/>
        <family val="2"/>
        <scheme val="minor"/>
      </rPr>
      <t xml:space="preserve"> Koristimo t-test za ispitivanje pouzdanosti parametara.</t>
    </r>
  </si>
  <si>
    <t>t teorijsko</t>
  </si>
  <si>
    <t>t empirijsko</t>
  </si>
  <si>
    <t>NE</t>
  </si>
  <si>
    <r>
      <rPr>
        <b/>
        <sz val="11"/>
        <color theme="1"/>
        <rFont val="Calibri"/>
        <family val="2"/>
        <scheme val="minor"/>
      </rPr>
      <t>Zaključak:</t>
    </r>
    <r>
      <rPr>
        <sz val="11"/>
        <color theme="1"/>
        <rFont val="Calibri"/>
        <family val="2"/>
        <scheme val="minor"/>
      </rPr>
      <t xml:space="preserve"> Kako apsolutna vrijednost nijednog empirijskog t nije veća od vrijednosti teorijskog, to nijedan parametar nije pouzdan.</t>
    </r>
  </si>
  <si>
    <t>Donja granica:</t>
  </si>
  <si>
    <t>Gornja granica:</t>
  </si>
  <si>
    <t>Donju granicu normalne cijene dobijemo tako što od 50 (srednja vrijednost) oduzmemo 22,5 (pola od 45).</t>
  </si>
  <si>
    <t>Gornju granicu normalne cijene dobijemo tako što na 50 (srednja vrijednost) dodamo 22,5 (pola od 45).</t>
  </si>
  <si>
    <t>Vrijednost donje granice:</t>
  </si>
  <si>
    <t>Vrijednost gornje granice:</t>
  </si>
  <si>
    <t>Srednji iznos:</t>
  </si>
  <si>
    <r>
      <rPr>
        <b/>
        <sz val="11"/>
        <color theme="1"/>
        <rFont val="Calibri"/>
        <family val="2"/>
        <scheme val="minor"/>
      </rPr>
      <t>Pojašnjenje:</t>
    </r>
    <r>
      <rPr>
        <sz val="11"/>
        <color theme="1"/>
        <rFont val="Calibri"/>
        <family val="2"/>
        <scheme val="minor"/>
      </rPr>
      <t xml:space="preserve"> Srednji iznos dobijemo tako što u funkciju PERCENTILE, pored niza vrijednosti, kao drugi parametar stavimo koeficijent 0,5 što označava sredinu.</t>
    </r>
  </si>
  <si>
    <t>Granica:</t>
  </si>
  <si>
    <r>
      <rPr>
        <b/>
        <sz val="11"/>
        <color theme="1"/>
        <rFont val="Calibri"/>
        <family val="2"/>
        <scheme val="minor"/>
      </rPr>
      <t xml:space="preserve">Pojašnjenje: </t>
    </r>
    <r>
      <rPr>
        <sz val="11"/>
        <color theme="1"/>
        <rFont val="Calibri"/>
        <family val="2"/>
        <scheme val="minor"/>
      </rPr>
      <t>Granicu 13% najskupljeg voća dobijemo koristeći funkciju PERCENTILE, a to u suštini označava graničnu vrijednost iznad koje se nalazi 13% najskupljeg voća.</t>
    </r>
  </si>
  <si>
    <r>
      <rPr>
        <b/>
        <sz val="11"/>
        <color theme="1"/>
        <rFont val="Calibri"/>
        <family val="2"/>
        <scheme val="minor"/>
      </rPr>
      <t xml:space="preserve">Pojašnjenje: </t>
    </r>
    <r>
      <rPr>
        <sz val="11"/>
        <color theme="1"/>
        <rFont val="Calibri"/>
        <family val="2"/>
        <scheme val="minor"/>
      </rPr>
      <t>Granicu 9% najjeftinijeg voća dobijemo koristeći funkciju PERCENTILE, a to u suštini označava graničnu vrijednost ispod koje se nalazi 9% najjeftinijeg voća.</t>
    </r>
  </si>
  <si>
    <t>Min</t>
  </si>
  <si>
    <t>Raspon</t>
  </si>
  <si>
    <t>Širina</t>
  </si>
  <si>
    <t>Veličina:</t>
  </si>
  <si>
    <t>0 do 3,74</t>
  </si>
  <si>
    <t>Gornje granice razreda:</t>
  </si>
  <si>
    <t>3,75 do 7,49</t>
  </si>
  <si>
    <t>7,5 do 11,24</t>
  </si>
  <si>
    <t>11,25 do 14,99</t>
  </si>
  <si>
    <t>15 do 18,89</t>
  </si>
  <si>
    <t>xi*fi</t>
  </si>
  <si>
    <r>
      <t>fi*(xi-mi)</t>
    </r>
    <r>
      <rPr>
        <vertAlign val="superscript"/>
        <sz val="11"/>
        <color theme="1"/>
        <rFont val="Calibri"/>
        <family val="2"/>
        <scheme val="minor"/>
      </rPr>
      <t>2</t>
    </r>
  </si>
  <si>
    <t>Srednja vrijednost svih elemenata u uzorku.</t>
  </si>
  <si>
    <t>Prosječno linearno odstupanje od sredine, računa se kao korijen iz varijanse.</t>
  </si>
  <si>
    <t>Količnik standardne devijacije i sredine.</t>
  </si>
  <si>
    <t>Skup vrijednost unutar kojih bi se nalazila sredina u 97% slučajeva ako bi se eksperiment ponavljao puno puta.</t>
  </si>
  <si>
    <t>Zakrivljenost uzorka, način rasporeda podataka prema nekoj srednjoj vrijednosti, odnosno osi simetrije.</t>
  </si>
  <si>
    <t>Pokazuje zaobljenost raspodjele i definira se kao pomoću koeficijenta četvrtog centralnog momenta i četvrte potencije standardne devijacije.</t>
  </si>
  <si>
    <t>IB160093</t>
  </si>
  <si>
    <t>Veledar</t>
  </si>
  <si>
    <t>Emir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</si>
</sst>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"/>
    <numFmt numFmtId="165" formatCode="0.000000"/>
    <numFmt numFmtId="166" formatCode="0.000"/>
    <numFmt numFmtId="167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quotePrefix="1"/>
    <xf numFmtId="14" fontId="0" fillId="0" borderId="0" xfId="0" applyNumberForma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0" xfId="0" applyFont="1" applyFill="1"/>
    <xf numFmtId="0" fontId="0" fillId="0" borderId="0" xfId="0" applyAlignment="1">
      <alignment horizontal="left"/>
    </xf>
    <xf numFmtId="0" fontId="3" fillId="3" borderId="1" xfId="0" applyFont="1" applyFill="1" applyBorder="1"/>
    <xf numFmtId="0" fontId="4" fillId="0" borderId="0" xfId="0" applyFont="1"/>
    <xf numFmtId="0" fontId="0" fillId="0" borderId="0" xfId="0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/>
    </xf>
    <xf numFmtId="0" fontId="5" fillId="0" borderId="0" xfId="0" applyFont="1"/>
    <xf numFmtId="0" fontId="5" fillId="4" borderId="0" xfId="0" applyFont="1" applyFill="1"/>
    <xf numFmtId="0" fontId="6" fillId="5" borderId="0" xfId="0" applyFont="1" applyFill="1" applyAlignment="1">
      <alignment horizontal="center"/>
    </xf>
    <xf numFmtId="0" fontId="0" fillId="0" borderId="0" xfId="0" applyFill="1" applyBorder="1" applyAlignment="1">
      <alignment horizontal="left"/>
    </xf>
    <xf numFmtId="2" fontId="0" fillId="0" borderId="0" xfId="0" applyNumberFormat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0" xfId="0" quotePrefix="1" applyFont="1" applyAlignment="1">
      <alignment horizontal="center"/>
    </xf>
    <xf numFmtId="0" fontId="0" fillId="0" borderId="13" xfId="0" applyBorder="1"/>
    <xf numFmtId="0" fontId="0" fillId="0" borderId="14" xfId="0" applyBorder="1"/>
    <xf numFmtId="0" fontId="8" fillId="0" borderId="10" xfId="0" applyFont="1" applyBorder="1" applyAlignment="1">
      <alignment horizontal="right"/>
    </xf>
    <xf numFmtId="166" fontId="0" fillId="0" borderId="11" xfId="0" applyNumberFormat="1" applyBorder="1" applyAlignment="1">
      <alignment horizontal="center"/>
    </xf>
    <xf numFmtId="0" fontId="8" fillId="0" borderId="11" xfId="0" applyFont="1" applyBorder="1" applyAlignment="1">
      <alignment horizontal="right"/>
    </xf>
    <xf numFmtId="0" fontId="0" fillId="0" borderId="12" xfId="0" applyBorder="1"/>
    <xf numFmtId="165" fontId="0" fillId="0" borderId="15" xfId="0" applyNumberForma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11" xfId="0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2" fontId="5" fillId="0" borderId="0" xfId="0" applyNumberFormat="1" applyFont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167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right"/>
    </xf>
    <xf numFmtId="0" fontId="5" fillId="0" borderId="0" xfId="0" quotePrefix="1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2351924759405074E-2"/>
                  <c:y val="0.159849810440361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Zad4!$C$16:$C$23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numCache>
            </c:numRef>
          </c:xVal>
          <c:yVal>
            <c:numRef>
              <c:f>Zad4!$D$16:$D$23</c:f>
              <c:numCache>
                <c:formatCode>General</c:formatCode>
                <c:ptCount val="8"/>
                <c:pt idx="0">
                  <c:v>-2254507</c:v>
                </c:pt>
                <c:pt idx="1">
                  <c:v>-1770338</c:v>
                </c:pt>
                <c:pt idx="2">
                  <c:v>-7313496</c:v>
                </c:pt>
                <c:pt idx="3">
                  <c:v>-5426094</c:v>
                </c:pt>
                <c:pt idx="4">
                  <c:v>-3579817</c:v>
                </c:pt>
                <c:pt idx="5">
                  <c:v>-1110001</c:v>
                </c:pt>
                <c:pt idx="6">
                  <c:v>-238952</c:v>
                </c:pt>
                <c:pt idx="7">
                  <c:v>246315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09-43F9-8682-7052FFA74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5666047"/>
        <c:axId val="555127551"/>
      </c:scatterChart>
      <c:valAx>
        <c:axId val="615666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127551"/>
        <c:crosses val="autoZero"/>
        <c:crossBetween val="midCat"/>
      </c:valAx>
      <c:valAx>
        <c:axId val="5551275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666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olid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8.2351924759405074E-2"/>
                  <c:y val="0.159849810440361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Zad4!$C$16:$C$23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numCache>
            </c:numRef>
          </c:xVal>
          <c:yVal>
            <c:numRef>
              <c:f>Zad4!$D$16:$D$23</c:f>
              <c:numCache>
                <c:formatCode>General</c:formatCode>
                <c:ptCount val="8"/>
                <c:pt idx="0">
                  <c:v>-2254507</c:v>
                </c:pt>
                <c:pt idx="1">
                  <c:v>-1770338</c:v>
                </c:pt>
                <c:pt idx="2">
                  <c:v>-7313496</c:v>
                </c:pt>
                <c:pt idx="3">
                  <c:v>-5426094</c:v>
                </c:pt>
                <c:pt idx="4">
                  <c:v>-3579817</c:v>
                </c:pt>
                <c:pt idx="5">
                  <c:v>-1110001</c:v>
                </c:pt>
                <c:pt idx="6">
                  <c:v>-238952</c:v>
                </c:pt>
                <c:pt idx="7">
                  <c:v>246315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CFC-4069-96D4-A0CDFDF49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5666047"/>
        <c:axId val="555127551"/>
      </c:scatterChart>
      <c:valAx>
        <c:axId val="615666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127551"/>
        <c:crosses val="autoZero"/>
        <c:crossBetween val="midCat"/>
      </c:valAx>
      <c:valAx>
        <c:axId val="5551275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666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27</xdr:row>
      <xdr:rowOff>185737</xdr:rowOff>
    </xdr:from>
    <xdr:to>
      <xdr:col>15</xdr:col>
      <xdr:colOff>314325</xdr:colOff>
      <xdr:row>42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03BF30-F210-4A30-B7A7-7D3D599143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847725</xdr:colOff>
      <xdr:row>46</xdr:row>
      <xdr:rowOff>9525</xdr:rowOff>
    </xdr:from>
    <xdr:to>
      <xdr:col>8</xdr:col>
      <xdr:colOff>57150</xdr:colOff>
      <xdr:row>60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F83C80-57A1-4E59-AD65-4ABBB564BB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652.672195717591" createdVersion="6" refreshedVersion="6" minRefreshableVersion="3" recordCount="177" xr:uid="{EA156F31-1DAD-42F8-B8F3-96C7957FA317}">
  <cacheSource type="worksheet">
    <worksheetSource ref="A1:F1048576" sheet="Podaci"/>
  </cacheSource>
  <cacheFields count="6">
    <cacheField name="Godina" numFmtId="0">
      <sharedItems containsString="0" containsBlank="1" containsNumber="1" containsInteger="1" minValue="2010" maxValue="2017" count="9">
        <n v="2016"/>
        <n v="2015"/>
        <n v="2011"/>
        <n v="2013"/>
        <n v="2012"/>
        <n v="2017"/>
        <n v="2010"/>
        <n v="2014"/>
        <m/>
      </sharedItems>
    </cacheField>
    <cacheField name="Vrsta voća" numFmtId="0">
      <sharedItems containsBlank="1" count="12">
        <s v="Bostan"/>
        <s v="Šljive"/>
        <s v="Jabuke"/>
        <s v="Trešnje"/>
        <s v="Breskve"/>
        <s v="Grožđe"/>
        <s v="Kajsije"/>
        <s v="Kruške"/>
        <s v="Jagode"/>
        <s v="Smokve"/>
        <s v="Šumsko voće"/>
        <m/>
      </sharedItems>
    </cacheField>
    <cacheField name="Tok" numFmtId="0">
      <sharedItems containsBlank="1" count="3">
        <s v="Izvoz"/>
        <s v="Uvoz"/>
        <m/>
      </sharedItems>
    </cacheField>
    <cacheField name="Iznos (USD)" numFmtId="0">
      <sharedItems containsString="0" containsBlank="1" containsNumber="1" containsInteger="1" minValue="144" maxValue="13837144"/>
    </cacheField>
    <cacheField name="Težina (kg)" numFmtId="0">
      <sharedItems containsString="0" containsBlank="1" containsNumber="1" containsInteger="1" minValue="261" maxValue="37905444"/>
    </cacheField>
    <cacheField name="Cijena/Kg" numFmtId="0">
      <sharedItems containsString="0" containsBlank="1" containsNumber="1" minValue="0.16552437036552731" maxValue="18.8840579710144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7">
  <r>
    <x v="0"/>
    <x v="0"/>
    <x v="0"/>
    <n v="146837"/>
    <n v="887102"/>
    <n v="0.16552437036552731"/>
  </r>
  <r>
    <x v="1"/>
    <x v="0"/>
    <x v="0"/>
    <n v="110572"/>
    <n v="591350"/>
    <n v="0.18698232857022068"/>
  </r>
  <r>
    <x v="2"/>
    <x v="0"/>
    <x v="0"/>
    <n v="73484"/>
    <n v="383830"/>
    <n v="0.1914493395513639"/>
  </r>
  <r>
    <x v="3"/>
    <x v="1"/>
    <x v="1"/>
    <n v="390229"/>
    <n v="2036281"/>
    <n v="0.19163808924210363"/>
  </r>
  <r>
    <x v="3"/>
    <x v="0"/>
    <x v="0"/>
    <n v="33350"/>
    <n v="167241"/>
    <n v="0.19941282341052732"/>
  </r>
  <r>
    <x v="1"/>
    <x v="0"/>
    <x v="1"/>
    <n v="3389994"/>
    <n v="16794184"/>
    <n v="0.20185523750365009"/>
  </r>
  <r>
    <x v="4"/>
    <x v="0"/>
    <x v="0"/>
    <n v="135629"/>
    <n v="665870"/>
    <n v="0.20368690585249374"/>
  </r>
  <r>
    <x v="5"/>
    <x v="0"/>
    <x v="1"/>
    <n v="3182515"/>
    <n v="15311461"/>
    <n v="0.20785181766782412"/>
  </r>
  <r>
    <x v="2"/>
    <x v="0"/>
    <x v="1"/>
    <n v="3134493"/>
    <n v="15045965"/>
    <n v="0.20832781413488599"/>
  </r>
  <r>
    <x v="0"/>
    <x v="0"/>
    <x v="1"/>
    <n v="3860061"/>
    <n v="17769102"/>
    <n v="0.21723444437428521"/>
  </r>
  <r>
    <x v="6"/>
    <x v="0"/>
    <x v="1"/>
    <n v="3475487"/>
    <n v="15974059"/>
    <n v="0.2175706875753996"/>
  </r>
  <r>
    <x v="1"/>
    <x v="1"/>
    <x v="1"/>
    <n v="442291"/>
    <n v="1976166"/>
    <n v="0.22381267565579005"/>
  </r>
  <r>
    <x v="2"/>
    <x v="1"/>
    <x v="1"/>
    <n v="517734"/>
    <n v="2257296"/>
    <n v="0.22936026112658686"/>
  </r>
  <r>
    <x v="7"/>
    <x v="0"/>
    <x v="1"/>
    <n v="4312156"/>
    <n v="18380137"/>
    <n v="0.23460956792650675"/>
  </r>
  <r>
    <x v="4"/>
    <x v="0"/>
    <x v="1"/>
    <n v="3259894"/>
    <n v="13629898"/>
    <n v="0.23917229608027882"/>
  </r>
  <r>
    <x v="6"/>
    <x v="2"/>
    <x v="1"/>
    <n v="5176412"/>
    <n v="21469024"/>
    <n v="0.24111072771636008"/>
  </r>
  <r>
    <x v="0"/>
    <x v="1"/>
    <x v="1"/>
    <n v="734622"/>
    <n v="3030932"/>
    <n v="0.24237495265482698"/>
  </r>
  <r>
    <x v="6"/>
    <x v="0"/>
    <x v="0"/>
    <n v="155046"/>
    <n v="631835"/>
    <n v="0.24539001479816724"/>
  </r>
  <r>
    <x v="5"/>
    <x v="0"/>
    <x v="0"/>
    <n v="24351"/>
    <n v="97923"/>
    <n v="0.24867497932048652"/>
  </r>
  <r>
    <x v="3"/>
    <x v="0"/>
    <x v="1"/>
    <n v="3367907"/>
    <n v="13115548"/>
    <n v="0.25678736412691255"/>
  </r>
  <r>
    <x v="4"/>
    <x v="1"/>
    <x v="1"/>
    <n v="804590"/>
    <n v="2940115"/>
    <n v="0.27365936366434646"/>
  </r>
  <r>
    <x v="7"/>
    <x v="1"/>
    <x v="1"/>
    <n v="320472"/>
    <n v="1167357"/>
    <n v="0.27452784366736138"/>
  </r>
  <r>
    <x v="0"/>
    <x v="2"/>
    <x v="1"/>
    <n v="8313150"/>
    <n v="29214994"/>
    <n v="0.28455080291989793"/>
  </r>
  <r>
    <x v="3"/>
    <x v="2"/>
    <x v="0"/>
    <n v="2465572"/>
    <n v="8571133"/>
    <n v="0.28765998614185545"/>
  </r>
  <r>
    <x v="7"/>
    <x v="2"/>
    <x v="1"/>
    <n v="7492248"/>
    <n v="25180531"/>
    <n v="0.29754130284226332"/>
  </r>
  <r>
    <x v="1"/>
    <x v="2"/>
    <x v="1"/>
    <n v="9374226"/>
    <n v="31352376"/>
    <n v="0.29899571247805906"/>
  </r>
  <r>
    <x v="1"/>
    <x v="3"/>
    <x v="1"/>
    <n v="269172"/>
    <n v="891031"/>
    <n v="0.30209049965713874"/>
  </r>
  <r>
    <x v="6"/>
    <x v="1"/>
    <x v="1"/>
    <n v="651716"/>
    <n v="2141705"/>
    <n v="0.30429774408707083"/>
  </r>
  <r>
    <x v="5"/>
    <x v="2"/>
    <x v="1"/>
    <n v="11638903"/>
    <n v="37905444"/>
    <n v="0.30705096080657968"/>
  </r>
  <r>
    <x v="4"/>
    <x v="3"/>
    <x v="1"/>
    <n v="131161"/>
    <n v="422725"/>
    <n v="0.31027500147850257"/>
  </r>
  <r>
    <x v="0"/>
    <x v="3"/>
    <x v="1"/>
    <n v="302641"/>
    <n v="886373"/>
    <n v="0.34143752122413479"/>
  </r>
  <r>
    <x v="4"/>
    <x v="2"/>
    <x v="1"/>
    <n v="9188427"/>
    <n v="26288523"/>
    <n v="0.34952237522054774"/>
  </r>
  <r>
    <x v="3"/>
    <x v="2"/>
    <x v="1"/>
    <n v="7891666"/>
    <n v="22534525"/>
    <n v="0.35020334353619614"/>
  </r>
  <r>
    <x v="6"/>
    <x v="2"/>
    <x v="0"/>
    <n v="2921905"/>
    <n v="8134291"/>
    <n v="0.35920831944664877"/>
  </r>
  <r>
    <x v="1"/>
    <x v="4"/>
    <x v="1"/>
    <n v="1902943"/>
    <n v="5163589"/>
    <n v="0.36853107402622476"/>
  </r>
  <r>
    <x v="5"/>
    <x v="1"/>
    <x v="1"/>
    <n v="1697672"/>
    <n v="4131345"/>
    <n v="0.4109247714727286"/>
  </r>
  <r>
    <x v="1"/>
    <x v="5"/>
    <x v="1"/>
    <n v="3133948"/>
    <n v="7559861"/>
    <n v="0.4145510082791205"/>
  </r>
  <r>
    <x v="3"/>
    <x v="3"/>
    <x v="1"/>
    <n v="61343"/>
    <n v="139465"/>
    <n v="0.43984512243215146"/>
  </r>
  <r>
    <x v="2"/>
    <x v="2"/>
    <x v="1"/>
    <n v="6531005"/>
    <n v="14816147"/>
    <n v="0.44080319937430429"/>
  </r>
  <r>
    <x v="0"/>
    <x v="5"/>
    <x v="1"/>
    <n v="3414387"/>
    <n v="7740894"/>
    <n v="0.44108432436873568"/>
  </r>
  <r>
    <x v="5"/>
    <x v="4"/>
    <x v="1"/>
    <n v="3211741"/>
    <n v="7271499"/>
    <n v="0.44168898324815831"/>
  </r>
  <r>
    <x v="1"/>
    <x v="6"/>
    <x v="0"/>
    <n v="144"/>
    <n v="325"/>
    <n v="0.44307692307692309"/>
  </r>
  <r>
    <x v="5"/>
    <x v="6"/>
    <x v="1"/>
    <n v="752881"/>
    <n v="1678250"/>
    <n v="0.44861075525100552"/>
  </r>
  <r>
    <x v="2"/>
    <x v="4"/>
    <x v="1"/>
    <n v="1981724"/>
    <n v="4328984"/>
    <n v="0.45778039373672896"/>
  </r>
  <r>
    <x v="7"/>
    <x v="3"/>
    <x v="1"/>
    <n v="194125"/>
    <n v="421235"/>
    <n v="0.46084727052595342"/>
  </r>
  <r>
    <x v="2"/>
    <x v="2"/>
    <x v="0"/>
    <n v="4760667"/>
    <n v="10274872"/>
    <n v="0.4633310273840881"/>
  </r>
  <r>
    <x v="5"/>
    <x v="5"/>
    <x v="1"/>
    <n v="3869139"/>
    <n v="8198598"/>
    <n v="0.47192690750296573"/>
  </r>
  <r>
    <x v="0"/>
    <x v="4"/>
    <x v="1"/>
    <n v="2897132"/>
    <n v="6107715"/>
    <n v="0.47433974898959758"/>
  </r>
  <r>
    <x v="6"/>
    <x v="4"/>
    <x v="1"/>
    <n v="1595478"/>
    <n v="3360077"/>
    <n v="0.47483376125011423"/>
  </r>
  <r>
    <x v="1"/>
    <x v="2"/>
    <x v="0"/>
    <n v="8264225"/>
    <n v="17243157"/>
    <n v="0.47927563380650073"/>
  </r>
  <r>
    <x v="3"/>
    <x v="5"/>
    <x v="1"/>
    <n v="3532734"/>
    <n v="7236403"/>
    <n v="0.48818922881989851"/>
  </r>
  <r>
    <x v="7"/>
    <x v="4"/>
    <x v="1"/>
    <n v="2694866"/>
    <n v="5490449"/>
    <n v="0.49082798146381107"/>
  </r>
  <r>
    <x v="6"/>
    <x v="5"/>
    <x v="1"/>
    <n v="3350618"/>
    <n v="6762425"/>
    <n v="0.49547580934354168"/>
  </r>
  <r>
    <x v="4"/>
    <x v="5"/>
    <x v="1"/>
    <n v="4000308"/>
    <n v="7905716"/>
    <n v="0.50600198641084504"/>
  </r>
  <r>
    <x v="2"/>
    <x v="5"/>
    <x v="1"/>
    <n v="4035298"/>
    <n v="7851433"/>
    <n v="0.5139568789544533"/>
  </r>
  <r>
    <x v="7"/>
    <x v="2"/>
    <x v="0"/>
    <n v="3912431"/>
    <n v="7559428"/>
    <n v="0.51755648707812285"/>
  </r>
  <r>
    <x v="4"/>
    <x v="4"/>
    <x v="1"/>
    <n v="2372469"/>
    <n v="4496128"/>
    <n v="0.52766936350566529"/>
  </r>
  <r>
    <x v="3"/>
    <x v="6"/>
    <x v="0"/>
    <n v="4348"/>
    <n v="8130"/>
    <n v="0.53480934809348091"/>
  </r>
  <r>
    <x v="4"/>
    <x v="2"/>
    <x v="0"/>
    <n v="1874931"/>
    <n v="3413628"/>
    <n v="0.54924877578927755"/>
  </r>
  <r>
    <x v="2"/>
    <x v="3"/>
    <x v="1"/>
    <n v="447658"/>
    <n v="809700"/>
    <n v="0.55286896381375816"/>
  </r>
  <r>
    <x v="3"/>
    <x v="4"/>
    <x v="1"/>
    <n v="2022240"/>
    <n v="3630018"/>
    <n v="0.55708814667034712"/>
  </r>
  <r>
    <x v="6"/>
    <x v="6"/>
    <x v="1"/>
    <n v="302572"/>
    <n v="530493"/>
    <n v="0.57036002360068838"/>
  </r>
  <r>
    <x v="3"/>
    <x v="1"/>
    <x v="0"/>
    <n v="6637421"/>
    <n v="11576251"/>
    <n v="0.57336533217878571"/>
  </r>
  <r>
    <x v="0"/>
    <x v="6"/>
    <x v="1"/>
    <n v="396295"/>
    <n v="690237"/>
    <n v="0.57414337394257331"/>
  </r>
  <r>
    <x v="7"/>
    <x v="3"/>
    <x v="0"/>
    <n v="236550"/>
    <n v="410533"/>
    <n v="0.57620215670847408"/>
  </r>
  <r>
    <x v="7"/>
    <x v="7"/>
    <x v="1"/>
    <n v="2862879"/>
    <n v="4965240"/>
    <n v="0.57658421345191768"/>
  </r>
  <r>
    <x v="7"/>
    <x v="1"/>
    <x v="0"/>
    <n v="2321609"/>
    <n v="3964062"/>
    <n v="0.58566414955164681"/>
  </r>
  <r>
    <x v="7"/>
    <x v="6"/>
    <x v="1"/>
    <n v="488205"/>
    <n v="831074"/>
    <n v="0.58743866370503706"/>
  </r>
  <r>
    <x v="7"/>
    <x v="5"/>
    <x v="1"/>
    <n v="3926989"/>
    <n v="6636790"/>
    <n v="0.59170005379106461"/>
  </r>
  <r>
    <x v="0"/>
    <x v="2"/>
    <x v="0"/>
    <n v="8074198"/>
    <n v="13585771"/>
    <n v="0.59431282920932493"/>
  </r>
  <r>
    <x v="4"/>
    <x v="7"/>
    <x v="1"/>
    <n v="1628625"/>
    <n v="2739789"/>
    <n v="0.59443446192389271"/>
  </r>
  <r>
    <x v="1"/>
    <x v="1"/>
    <x v="0"/>
    <n v="3254747"/>
    <n v="5441874"/>
    <n v="0.59809304662327722"/>
  </r>
  <r>
    <x v="0"/>
    <x v="7"/>
    <x v="1"/>
    <n v="5570741"/>
    <n v="9260773"/>
    <n v="0.60154168555907805"/>
  </r>
  <r>
    <x v="1"/>
    <x v="7"/>
    <x v="1"/>
    <n v="4768098"/>
    <n v="7901919"/>
    <n v="0.60341013366499963"/>
  </r>
  <r>
    <x v="7"/>
    <x v="0"/>
    <x v="0"/>
    <n v="9256"/>
    <n v="15253"/>
    <n v="0.60683144299482072"/>
  </r>
  <r>
    <x v="1"/>
    <x v="6"/>
    <x v="1"/>
    <n v="380220"/>
    <n v="622406"/>
    <n v="0.61088742717775857"/>
  </r>
  <r>
    <x v="6"/>
    <x v="3"/>
    <x v="0"/>
    <n v="22956"/>
    <n v="36499"/>
    <n v="0.62894873832159781"/>
  </r>
  <r>
    <x v="6"/>
    <x v="7"/>
    <x v="1"/>
    <n v="1125580"/>
    <n v="1784028"/>
    <n v="0.63092059093242936"/>
  </r>
  <r>
    <x v="2"/>
    <x v="7"/>
    <x v="1"/>
    <n v="1386413"/>
    <n v="2188693"/>
    <n v="0.63344333810178033"/>
  </r>
  <r>
    <x v="6"/>
    <x v="3"/>
    <x v="1"/>
    <n v="233246"/>
    <n v="366695"/>
    <n v="0.63607630319475317"/>
  </r>
  <r>
    <x v="3"/>
    <x v="7"/>
    <x v="0"/>
    <n v="1171058"/>
    <n v="1823302"/>
    <n v="0.64227319445708941"/>
  </r>
  <r>
    <x v="5"/>
    <x v="3"/>
    <x v="1"/>
    <n v="1249928"/>
    <n v="1944746"/>
    <n v="0.64272043752757424"/>
  </r>
  <r>
    <x v="4"/>
    <x v="6"/>
    <x v="1"/>
    <n v="278945"/>
    <n v="427750"/>
    <n v="0.65212156633547635"/>
  </r>
  <r>
    <x v="6"/>
    <x v="1"/>
    <x v="0"/>
    <n v="4091900"/>
    <n v="6238203"/>
    <n v="0.65594210383983975"/>
  </r>
  <r>
    <x v="3"/>
    <x v="6"/>
    <x v="1"/>
    <n v="388211"/>
    <n v="563384"/>
    <n v="0.68906997713815088"/>
  </r>
  <r>
    <x v="2"/>
    <x v="6"/>
    <x v="1"/>
    <n v="267518"/>
    <n v="387123"/>
    <n v="0.69104134861529798"/>
  </r>
  <r>
    <x v="0"/>
    <x v="5"/>
    <x v="0"/>
    <n v="492590"/>
    <n v="662410"/>
    <n v="0.74363309732642924"/>
  </r>
  <r>
    <x v="4"/>
    <x v="1"/>
    <x v="0"/>
    <n v="4154735"/>
    <n v="5571695"/>
    <n v="0.74568600757938119"/>
  </r>
  <r>
    <x v="2"/>
    <x v="1"/>
    <x v="0"/>
    <n v="4075009"/>
    <n v="5410956"/>
    <n v="0.75310333331115609"/>
  </r>
  <r>
    <x v="5"/>
    <x v="7"/>
    <x v="1"/>
    <n v="9967897"/>
    <n v="13116450"/>
    <n v="0.75995387471457598"/>
  </r>
  <r>
    <x v="5"/>
    <x v="2"/>
    <x v="0"/>
    <n v="11885218"/>
    <n v="15628379"/>
    <n v="0.76048949158450785"/>
  </r>
  <r>
    <x v="1"/>
    <x v="5"/>
    <x v="0"/>
    <n v="873771"/>
    <n v="1124643"/>
    <n v="0.77693187971649669"/>
  </r>
  <r>
    <x v="4"/>
    <x v="7"/>
    <x v="0"/>
    <n v="648948"/>
    <n v="834668"/>
    <n v="0.77749236822305401"/>
  </r>
  <r>
    <x v="0"/>
    <x v="6"/>
    <x v="0"/>
    <n v="955"/>
    <n v="1223"/>
    <n v="0.7808667211774325"/>
  </r>
  <r>
    <x v="0"/>
    <x v="1"/>
    <x v="0"/>
    <n v="4314336"/>
    <n v="5523522"/>
    <n v="0.78108424298844104"/>
  </r>
  <r>
    <x v="5"/>
    <x v="5"/>
    <x v="0"/>
    <n v="924060"/>
    <n v="1177608"/>
    <n v="0.78469235942690607"/>
  </r>
  <r>
    <x v="2"/>
    <x v="7"/>
    <x v="0"/>
    <n v="1986116"/>
    <n v="2398414"/>
    <n v="0.82809556648685334"/>
  </r>
  <r>
    <x v="3"/>
    <x v="7"/>
    <x v="1"/>
    <n v="1264525"/>
    <n v="1497944"/>
    <n v="0.84417374748321694"/>
  </r>
  <r>
    <x v="0"/>
    <x v="8"/>
    <x v="1"/>
    <n v="351160"/>
    <n v="402082"/>
    <n v="0.87335419143358817"/>
  </r>
  <r>
    <x v="5"/>
    <x v="1"/>
    <x v="0"/>
    <n v="7170437"/>
    <n v="8143625"/>
    <n v="0.88049695313819087"/>
  </r>
  <r>
    <x v="2"/>
    <x v="6"/>
    <x v="0"/>
    <n v="73022"/>
    <n v="80337"/>
    <n v="0.90894606470244099"/>
  </r>
  <r>
    <x v="1"/>
    <x v="4"/>
    <x v="0"/>
    <n v="486675"/>
    <n v="534125"/>
    <n v="0.91116311724783527"/>
  </r>
  <r>
    <x v="7"/>
    <x v="4"/>
    <x v="0"/>
    <n v="583030"/>
    <n v="623184"/>
    <n v="0.9355663816786054"/>
  </r>
  <r>
    <x v="7"/>
    <x v="7"/>
    <x v="0"/>
    <n v="2890214"/>
    <n v="3072934"/>
    <n v="0.94053891167203718"/>
  </r>
  <r>
    <x v="6"/>
    <x v="7"/>
    <x v="0"/>
    <n v="1176877"/>
    <n v="1196541"/>
    <n v="0.98356596221943082"/>
  </r>
  <r>
    <x v="5"/>
    <x v="4"/>
    <x v="0"/>
    <n v="971305"/>
    <n v="979212"/>
    <n v="0.99192513980629327"/>
  </r>
  <r>
    <x v="4"/>
    <x v="5"/>
    <x v="0"/>
    <n v="697603"/>
    <n v="701137"/>
    <n v="0.99495961559581081"/>
  </r>
  <r>
    <x v="4"/>
    <x v="6"/>
    <x v="0"/>
    <n v="31623"/>
    <n v="31695"/>
    <n v="0.9977283483199243"/>
  </r>
  <r>
    <x v="0"/>
    <x v="7"/>
    <x v="0"/>
    <n v="8274331"/>
    <n v="8267166"/>
    <n v="1.0008666815206082"/>
  </r>
  <r>
    <x v="6"/>
    <x v="8"/>
    <x v="1"/>
    <n v="204676"/>
    <n v="203669"/>
    <n v="1.0049442968738493"/>
  </r>
  <r>
    <x v="0"/>
    <x v="4"/>
    <x v="0"/>
    <n v="1246515"/>
    <n v="1238225"/>
    <n v="1.006695067536191"/>
  </r>
  <r>
    <x v="5"/>
    <x v="8"/>
    <x v="1"/>
    <n v="310789"/>
    <n v="308312"/>
    <n v="1.00803406938426"/>
  </r>
  <r>
    <x v="7"/>
    <x v="8"/>
    <x v="0"/>
    <n v="42238"/>
    <n v="41411"/>
    <n v="1.0199705392287073"/>
  </r>
  <r>
    <x v="3"/>
    <x v="4"/>
    <x v="0"/>
    <n v="186756"/>
    <n v="178938"/>
    <n v="1.0436911108875699"/>
  </r>
  <r>
    <x v="7"/>
    <x v="5"/>
    <x v="0"/>
    <n v="524580"/>
    <n v="502066"/>
    <n v="1.0448427099225999"/>
  </r>
  <r>
    <x v="2"/>
    <x v="5"/>
    <x v="0"/>
    <n v="778257"/>
    <n v="737569"/>
    <n v="1.0551650082907498"/>
  </r>
  <r>
    <x v="3"/>
    <x v="5"/>
    <x v="0"/>
    <n v="497142"/>
    <n v="468911"/>
    <n v="1.0602054547664694"/>
  </r>
  <r>
    <x v="6"/>
    <x v="5"/>
    <x v="0"/>
    <n v="1173163"/>
    <n v="1103824"/>
    <n v="1.0628170795344185"/>
  </r>
  <r>
    <x v="4"/>
    <x v="8"/>
    <x v="1"/>
    <n v="251699"/>
    <n v="236393"/>
    <n v="1.0647481101386251"/>
  </r>
  <r>
    <x v="1"/>
    <x v="7"/>
    <x v="0"/>
    <n v="6143048"/>
    <n v="5762655"/>
    <n v="1.0660100248930398"/>
  </r>
  <r>
    <x v="4"/>
    <x v="4"/>
    <x v="0"/>
    <n v="580647"/>
    <n v="542746"/>
    <n v="1.0698319287475173"/>
  </r>
  <r>
    <x v="4"/>
    <x v="3"/>
    <x v="0"/>
    <n v="348371"/>
    <n v="322302"/>
    <n v="1.0808837673982787"/>
  </r>
  <r>
    <x v="3"/>
    <x v="8"/>
    <x v="1"/>
    <n v="318717"/>
    <n v="289355"/>
    <n v="1.1014739679632286"/>
  </r>
  <r>
    <x v="2"/>
    <x v="4"/>
    <x v="0"/>
    <n v="697236"/>
    <n v="615558"/>
    <n v="1.1326893647714755"/>
  </r>
  <r>
    <x v="6"/>
    <x v="4"/>
    <x v="0"/>
    <n v="686364"/>
    <n v="571263"/>
    <n v="1.2014851303165093"/>
  </r>
  <r>
    <x v="7"/>
    <x v="8"/>
    <x v="1"/>
    <n v="304113"/>
    <n v="250400"/>
    <n v="1.2145087859424921"/>
  </r>
  <r>
    <x v="2"/>
    <x v="3"/>
    <x v="0"/>
    <n v="171159"/>
    <n v="139042"/>
    <n v="1.2309877590943743"/>
  </r>
  <r>
    <x v="2"/>
    <x v="8"/>
    <x v="1"/>
    <n v="155560"/>
    <n v="126013"/>
    <n v="1.2344758080515503"/>
  </r>
  <r>
    <x v="5"/>
    <x v="7"/>
    <x v="0"/>
    <n v="13837144"/>
    <n v="10874259"/>
    <n v="1.2724677607917929"/>
  </r>
  <r>
    <x v="3"/>
    <x v="3"/>
    <x v="0"/>
    <n v="218129"/>
    <n v="171296"/>
    <n v="1.2734039323743696"/>
  </r>
  <r>
    <x v="1"/>
    <x v="8"/>
    <x v="1"/>
    <n v="277337"/>
    <n v="214871"/>
    <n v="1.290713963261678"/>
  </r>
  <r>
    <x v="1"/>
    <x v="8"/>
    <x v="0"/>
    <n v="60061"/>
    <n v="45246"/>
    <n v="1.3274322592052337"/>
  </r>
  <r>
    <x v="5"/>
    <x v="6"/>
    <x v="0"/>
    <n v="1997"/>
    <n v="1440"/>
    <n v="1.3868055555555556"/>
  </r>
  <r>
    <x v="4"/>
    <x v="8"/>
    <x v="0"/>
    <n v="134958"/>
    <n v="94183"/>
    <n v="1.4329337566227451"/>
  </r>
  <r>
    <x v="1"/>
    <x v="3"/>
    <x v="0"/>
    <n v="199075"/>
    <n v="127101"/>
    <n v="1.5662740655069591"/>
  </r>
  <r>
    <x v="6"/>
    <x v="6"/>
    <x v="0"/>
    <n v="2382"/>
    <n v="1500"/>
    <n v="1.5880000000000001"/>
  </r>
  <r>
    <x v="7"/>
    <x v="6"/>
    <x v="0"/>
    <n v="23543"/>
    <n v="14784"/>
    <n v="1.5924648268398269"/>
  </r>
  <r>
    <x v="3"/>
    <x v="8"/>
    <x v="0"/>
    <n v="226641"/>
    <n v="140512"/>
    <n v="1.6129654406741061"/>
  </r>
  <r>
    <x v="0"/>
    <x v="3"/>
    <x v="0"/>
    <n v="117288"/>
    <n v="68822"/>
    <n v="1.7042224869954374"/>
  </r>
  <r>
    <x v="0"/>
    <x v="8"/>
    <x v="0"/>
    <n v="314222"/>
    <n v="177816"/>
    <n v="1.7671188194538174"/>
  </r>
  <r>
    <x v="2"/>
    <x v="8"/>
    <x v="0"/>
    <n v="87252"/>
    <n v="49009"/>
    <n v="1.780326062559938"/>
  </r>
  <r>
    <x v="4"/>
    <x v="9"/>
    <x v="1"/>
    <n v="675989"/>
    <n v="365434"/>
    <n v="1.8498251394232612"/>
  </r>
  <r>
    <x v="5"/>
    <x v="3"/>
    <x v="0"/>
    <n v="33659"/>
    <n v="17224"/>
    <n v="1.9541918253599628"/>
  </r>
  <r>
    <x v="2"/>
    <x v="9"/>
    <x v="1"/>
    <n v="938488"/>
    <n v="477898"/>
    <n v="1.9637830666795006"/>
  </r>
  <r>
    <x v="5"/>
    <x v="8"/>
    <x v="0"/>
    <n v="170740"/>
    <n v="86006"/>
    <n v="1.9852103341627327"/>
  </r>
  <r>
    <x v="3"/>
    <x v="9"/>
    <x v="1"/>
    <n v="812046"/>
    <n v="394273"/>
    <n v="2.0596033712681314"/>
  </r>
  <r>
    <x v="6"/>
    <x v="9"/>
    <x v="1"/>
    <n v="727018"/>
    <n v="349916"/>
    <n v="2.0776929320179702"/>
  </r>
  <r>
    <x v="0"/>
    <x v="9"/>
    <x v="1"/>
    <n v="830069"/>
    <n v="350495"/>
    <n v="2.368276294954279"/>
  </r>
  <r>
    <x v="1"/>
    <x v="9"/>
    <x v="1"/>
    <n v="886423"/>
    <n v="364177"/>
    <n v="2.4340444344371006"/>
  </r>
  <r>
    <x v="7"/>
    <x v="9"/>
    <x v="1"/>
    <n v="1048503"/>
    <n v="429626"/>
    <n v="2.4405017387215859"/>
  </r>
  <r>
    <x v="5"/>
    <x v="9"/>
    <x v="1"/>
    <n v="1099253"/>
    <n v="436622"/>
    <n v="2.5176308110906001"/>
  </r>
  <r>
    <x v="6"/>
    <x v="10"/>
    <x v="0"/>
    <n v="259392"/>
    <n v="90416"/>
    <n v="2.8688727658821449"/>
  </r>
  <r>
    <x v="5"/>
    <x v="10"/>
    <x v="0"/>
    <n v="1634940"/>
    <n v="566946"/>
    <n v="2.8837667079404388"/>
  </r>
  <r>
    <x v="4"/>
    <x v="9"/>
    <x v="0"/>
    <n v="223646"/>
    <n v="58141"/>
    <n v="3.8466142653205138"/>
  </r>
  <r>
    <x v="7"/>
    <x v="10"/>
    <x v="0"/>
    <n v="481335"/>
    <n v="117332"/>
    <n v="4.1023335492448778"/>
  </r>
  <r>
    <x v="5"/>
    <x v="10"/>
    <x v="1"/>
    <n v="53697"/>
    <n v="12776"/>
    <n v="4.2029586725109578"/>
  </r>
  <r>
    <x v="6"/>
    <x v="9"/>
    <x v="0"/>
    <n v="201808"/>
    <n v="47900"/>
    <n v="4.2131106471816286"/>
  </r>
  <r>
    <x v="6"/>
    <x v="8"/>
    <x v="0"/>
    <n v="19114"/>
    <n v="4474"/>
    <n v="4.2722396066160035"/>
  </r>
  <r>
    <x v="3"/>
    <x v="10"/>
    <x v="0"/>
    <n v="1350880"/>
    <n v="315410"/>
    <n v="4.2829333248787291"/>
  </r>
  <r>
    <x v="3"/>
    <x v="9"/>
    <x v="0"/>
    <n v="190902"/>
    <n v="44356"/>
    <n v="4.303859680764722"/>
  </r>
  <r>
    <x v="2"/>
    <x v="10"/>
    <x v="0"/>
    <n v="654100"/>
    <n v="151845"/>
    <n v="4.307682175903059"/>
  </r>
  <r>
    <x v="0"/>
    <x v="10"/>
    <x v="0"/>
    <n v="784093"/>
    <n v="180132"/>
    <n v="4.3528801101414523"/>
  </r>
  <r>
    <x v="1"/>
    <x v="10"/>
    <x v="0"/>
    <n v="659560"/>
    <n v="150587"/>
    <n v="4.3799265540850136"/>
  </r>
  <r>
    <x v="4"/>
    <x v="10"/>
    <x v="0"/>
    <n v="740466"/>
    <n v="168121"/>
    <n v="4.404363523890531"/>
  </r>
  <r>
    <x v="2"/>
    <x v="9"/>
    <x v="0"/>
    <n v="301823"/>
    <n v="67477"/>
    <n v="4.4729759769995701"/>
  </r>
  <r>
    <x v="7"/>
    <x v="9"/>
    <x v="0"/>
    <n v="225805"/>
    <n v="46517"/>
    <n v="4.854246834490616"/>
  </r>
  <r>
    <x v="0"/>
    <x v="10"/>
    <x v="1"/>
    <n v="22201"/>
    <n v="4515"/>
    <n v="4.9171650055370986"/>
  </r>
  <r>
    <x v="5"/>
    <x v="9"/>
    <x v="0"/>
    <n v="42512"/>
    <n v="8040"/>
    <n v="5.287562189054726"/>
  </r>
  <r>
    <x v="1"/>
    <x v="9"/>
    <x v="0"/>
    <n v="119994"/>
    <n v="22097"/>
    <n v="5.4303299090374262"/>
  </r>
  <r>
    <x v="0"/>
    <x v="9"/>
    <x v="0"/>
    <n v="76617"/>
    <n v="13449"/>
    <n v="5.6968547847423601"/>
  </r>
  <r>
    <x v="1"/>
    <x v="10"/>
    <x v="1"/>
    <n v="13642"/>
    <n v="2242"/>
    <n v="6.0847457627118642"/>
  </r>
  <r>
    <x v="3"/>
    <x v="10"/>
    <x v="1"/>
    <n v="17573"/>
    <n v="2355"/>
    <n v="7.4619957537154988"/>
  </r>
  <r>
    <x v="2"/>
    <x v="10"/>
    <x v="1"/>
    <n v="16291"/>
    <n v="1920"/>
    <n v="8.4848958333333329"/>
  </r>
  <r>
    <x v="4"/>
    <x v="10"/>
    <x v="1"/>
    <n v="8691"/>
    <n v="990"/>
    <n v="8.7787878787878793"/>
  </r>
  <r>
    <x v="6"/>
    <x v="10"/>
    <x v="1"/>
    <n v="2577"/>
    <n v="261"/>
    <n v="9.8735632183908049"/>
  </r>
  <r>
    <x v="7"/>
    <x v="10"/>
    <x v="1"/>
    <n v="6515"/>
    <n v="345"/>
    <n v="18.884057971014492"/>
  </r>
  <r>
    <x v="8"/>
    <x v="11"/>
    <x v="2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083096-E9FA-4172-9D46-4F9777AAFB02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C27:F53" firstHeaderRow="1" firstDataRow="2" firstDataCol="1"/>
  <pivotFields count="6">
    <pivotField axis="axisRow" showAll="0">
      <items count="10">
        <item h="1" x="6"/>
        <item h="1" x="2"/>
        <item x="4"/>
        <item h="1" x="3"/>
        <item h="1" x="7"/>
        <item x="1"/>
        <item h="1" x="0"/>
        <item h="1" x="5"/>
        <item h="1" x="8"/>
        <item t="default"/>
      </items>
    </pivotField>
    <pivotField axis="axisRow" showAll="0">
      <items count="13">
        <item x="0"/>
        <item x="4"/>
        <item x="5"/>
        <item x="2"/>
        <item x="8"/>
        <item x="6"/>
        <item x="7"/>
        <item x="9"/>
        <item x="1"/>
        <item x="10"/>
        <item x="3"/>
        <item x="11"/>
        <item t="default"/>
      </items>
    </pivotField>
    <pivotField axis="axisCol" showAll="0">
      <items count="4">
        <item x="0"/>
        <item x="1"/>
        <item x="2"/>
        <item t="default"/>
      </items>
    </pivotField>
    <pivotField dataField="1" showAll="0"/>
    <pivotField showAll="0"/>
    <pivotField showAll="0"/>
  </pivotFields>
  <rowFields count="2">
    <field x="0"/>
    <field x="1"/>
  </rowFields>
  <rowItems count="25"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Average of Iznos (USD)" fld="3" subtotal="average" baseField="0" baseItem="2"/>
  </dataFields>
  <chartFormats count="3">
    <chartFormat chart="0" format="0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384A1E-FD0C-46BC-A514-5392F885ECB1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C9:F22" firstHeaderRow="1" firstDataRow="2" firstDataCol="1"/>
  <pivotFields count="6">
    <pivotField showAll="0"/>
    <pivotField axis="axisRow" showAll="0">
      <items count="13">
        <item x="0"/>
        <item x="4"/>
        <item x="5"/>
        <item x="2"/>
        <item x="8"/>
        <item x="6"/>
        <item x="7"/>
        <item x="9"/>
        <item x="1"/>
        <item x="10"/>
        <item x="3"/>
        <item x="11"/>
        <item t="default"/>
      </items>
    </pivotField>
    <pivotField axis="axisCol" showAll="0">
      <items count="4">
        <item x="0"/>
        <item x="1"/>
        <item h="1" x="2"/>
        <item t="default"/>
      </items>
    </pivotField>
    <pivotField dataField="1"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Iznos (USD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workbookViewId="0">
      <selection activeCell="I9" sqref="I9"/>
    </sheetView>
  </sheetViews>
  <sheetFormatPr defaultRowHeight="15" x14ac:dyDescent="0.25"/>
  <cols>
    <col min="4" max="4" width="7.140625" customWidth="1"/>
    <col min="5" max="13" width="6" customWidth="1"/>
    <col min="14" max="14" width="8" bestFit="1" customWidth="1"/>
    <col min="15" max="15" width="7.42578125" bestFit="1" customWidth="1"/>
    <col min="16" max="16" width="6.5703125" bestFit="1" customWidth="1"/>
  </cols>
  <sheetData>
    <row r="1" spans="1:15" x14ac:dyDescent="0.25">
      <c r="A1" t="s">
        <v>51</v>
      </c>
    </row>
    <row r="2" spans="1:15" x14ac:dyDescent="0.25">
      <c r="A2" t="s">
        <v>1</v>
      </c>
    </row>
    <row r="3" spans="1:15" x14ac:dyDescent="0.25">
      <c r="A3" t="s">
        <v>52</v>
      </c>
    </row>
    <row r="6" spans="1:15" x14ac:dyDescent="0.25">
      <c r="C6" s="10" t="s">
        <v>21</v>
      </c>
    </row>
    <row r="7" spans="1:15" x14ac:dyDescent="0.25">
      <c r="A7" t="s">
        <v>2</v>
      </c>
    </row>
    <row r="8" spans="1:15" x14ac:dyDescent="0.25">
      <c r="A8" s="4" t="s">
        <v>50</v>
      </c>
      <c r="C8" s="10" t="s">
        <v>96</v>
      </c>
    </row>
    <row r="10" spans="1:15" x14ac:dyDescent="0.25">
      <c r="A10" t="s">
        <v>23</v>
      </c>
    </row>
    <row r="11" spans="1:15" x14ac:dyDescent="0.25">
      <c r="A11" s="1" t="s">
        <v>3</v>
      </c>
      <c r="B11" s="1" t="s">
        <v>4</v>
      </c>
      <c r="C11" s="1" t="s">
        <v>5</v>
      </c>
    </row>
    <row r="12" spans="1:15" x14ac:dyDescent="0.25">
      <c r="A12" s="9" t="s">
        <v>224</v>
      </c>
      <c r="B12" s="9" t="s">
        <v>225</v>
      </c>
      <c r="C12" s="9" t="s">
        <v>226</v>
      </c>
    </row>
    <row r="14" spans="1:15" x14ac:dyDescent="0.25">
      <c r="C14" t="s">
        <v>6</v>
      </c>
    </row>
    <row r="16" spans="1:15" x14ac:dyDescent="0.25">
      <c r="D16" s="5"/>
      <c r="E16" s="6" t="s">
        <v>12</v>
      </c>
      <c r="F16" s="6" t="s">
        <v>13</v>
      </c>
      <c r="G16" s="6" t="s">
        <v>14</v>
      </c>
      <c r="H16" s="6" t="s">
        <v>15</v>
      </c>
      <c r="I16" s="6" t="s">
        <v>16</v>
      </c>
      <c r="J16" s="6" t="s">
        <v>17</v>
      </c>
      <c r="K16" s="6" t="s">
        <v>45</v>
      </c>
      <c r="L16" s="6" t="s">
        <v>46</v>
      </c>
      <c r="M16" s="6" t="s">
        <v>47</v>
      </c>
      <c r="N16" s="6" t="s">
        <v>10</v>
      </c>
      <c r="O16" s="6" t="s">
        <v>49</v>
      </c>
    </row>
    <row r="17" spans="4:15" x14ac:dyDescent="0.25">
      <c r="D17" s="5" t="s">
        <v>0</v>
      </c>
      <c r="E17" s="6">
        <v>10</v>
      </c>
      <c r="F17" s="6">
        <v>10</v>
      </c>
      <c r="G17" s="6">
        <v>10</v>
      </c>
      <c r="H17" s="6">
        <v>10</v>
      </c>
      <c r="I17" s="6">
        <v>10</v>
      </c>
      <c r="J17" s="6">
        <v>10</v>
      </c>
      <c r="K17" s="12">
        <v>10</v>
      </c>
      <c r="L17" s="12">
        <v>15</v>
      </c>
      <c r="M17" s="12">
        <v>15</v>
      </c>
      <c r="N17" s="6">
        <f>SUM(E17:M17)</f>
        <v>100</v>
      </c>
      <c r="O17" s="6">
        <f>SUM(E17:I17)*2</f>
        <v>100</v>
      </c>
    </row>
    <row r="18" spans="4:15" x14ac:dyDescent="0.25">
      <c r="D18" s="5" t="s">
        <v>11</v>
      </c>
      <c r="E18" s="6">
        <f>Zad1!A2</f>
        <v>0</v>
      </c>
      <c r="F18" s="6">
        <f>Zad2!A2</f>
        <v>0</v>
      </c>
      <c r="G18" s="6">
        <f>Zad3!A2</f>
        <v>0</v>
      </c>
      <c r="H18" s="6">
        <f>Zad4!A2</f>
        <v>0</v>
      </c>
      <c r="I18" s="6">
        <f>Zad5!A2</f>
        <v>0</v>
      </c>
      <c r="J18" s="6">
        <f>Zad6!A2</f>
        <v>0</v>
      </c>
      <c r="K18" s="6">
        <f>Zad7!A2</f>
        <v>0</v>
      </c>
      <c r="L18" s="6">
        <f>Zad8!A2</f>
        <v>0</v>
      </c>
      <c r="M18" s="6">
        <f>Zad9!A2</f>
        <v>0</v>
      </c>
      <c r="N18" s="6">
        <f>SUM(E18:M18)</f>
        <v>0</v>
      </c>
      <c r="O18" s="6">
        <f>SUM(E18:I18)*2</f>
        <v>0</v>
      </c>
    </row>
    <row r="19" spans="4:15" x14ac:dyDescent="0.25">
      <c r="J1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7"/>
  <sheetViews>
    <sheetView topLeftCell="A112" workbookViewId="0">
      <selection activeCell="F2" sqref="F2:F18"/>
    </sheetView>
  </sheetViews>
  <sheetFormatPr defaultRowHeight="15" x14ac:dyDescent="0.25"/>
  <cols>
    <col min="1" max="1" width="7.28515625" bestFit="1" customWidth="1"/>
    <col min="2" max="2" width="12.42578125" bestFit="1" customWidth="1"/>
    <col min="3" max="3" width="5.42578125" bestFit="1" customWidth="1"/>
    <col min="4" max="4" width="11" bestFit="1" customWidth="1"/>
    <col min="5" max="5" width="10.5703125" bestFit="1" customWidth="1"/>
    <col min="6" max="6" width="9.5703125" bestFit="1" customWidth="1"/>
  </cols>
  <sheetData>
    <row r="1" spans="1:6" x14ac:dyDescent="0.25">
      <c r="A1" t="s">
        <v>22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</row>
    <row r="2" spans="1:6" x14ac:dyDescent="0.25">
      <c r="A2">
        <v>2016</v>
      </c>
      <c r="B2" t="s">
        <v>58</v>
      </c>
      <c r="C2" t="s">
        <v>59</v>
      </c>
      <c r="D2">
        <v>146837</v>
      </c>
      <c r="E2">
        <v>887102</v>
      </c>
      <c r="F2" s="13">
        <v>0.16552437036552731</v>
      </c>
    </row>
    <row r="3" spans="1:6" x14ac:dyDescent="0.25">
      <c r="A3">
        <v>2015</v>
      </c>
      <c r="B3" t="s">
        <v>58</v>
      </c>
      <c r="C3" t="s">
        <v>59</v>
      </c>
      <c r="D3">
        <v>110572</v>
      </c>
      <c r="E3">
        <v>591350</v>
      </c>
      <c r="F3" s="13">
        <v>0.18698232857022068</v>
      </c>
    </row>
    <row r="4" spans="1:6" x14ac:dyDescent="0.25">
      <c r="A4">
        <v>2011</v>
      </c>
      <c r="B4" t="s">
        <v>58</v>
      </c>
      <c r="C4" t="s">
        <v>59</v>
      </c>
      <c r="D4">
        <v>73484</v>
      </c>
      <c r="E4">
        <v>383830</v>
      </c>
      <c r="F4" s="13">
        <v>0.1914493395513639</v>
      </c>
    </row>
    <row r="5" spans="1:6" x14ac:dyDescent="0.25">
      <c r="A5">
        <v>2013</v>
      </c>
      <c r="B5" t="s">
        <v>62</v>
      </c>
      <c r="C5" t="s">
        <v>70</v>
      </c>
      <c r="D5">
        <v>390229</v>
      </c>
      <c r="E5">
        <v>2036281</v>
      </c>
      <c r="F5" s="13">
        <v>0.19163808924210363</v>
      </c>
    </row>
    <row r="6" spans="1:6" x14ac:dyDescent="0.25">
      <c r="A6">
        <v>2013</v>
      </c>
      <c r="B6" t="s">
        <v>58</v>
      </c>
      <c r="C6" t="s">
        <v>59</v>
      </c>
      <c r="D6">
        <v>33350</v>
      </c>
      <c r="E6">
        <v>167241</v>
      </c>
      <c r="F6" s="13">
        <v>0.19941282341052732</v>
      </c>
    </row>
    <row r="7" spans="1:6" x14ac:dyDescent="0.25">
      <c r="A7">
        <v>2015</v>
      </c>
      <c r="B7" t="s">
        <v>58</v>
      </c>
      <c r="C7" t="s">
        <v>70</v>
      </c>
      <c r="D7">
        <v>3389994</v>
      </c>
      <c r="E7">
        <v>16794184</v>
      </c>
      <c r="F7" s="13">
        <v>0.20185523750365009</v>
      </c>
    </row>
    <row r="8" spans="1:6" x14ac:dyDescent="0.25">
      <c r="A8">
        <v>2012</v>
      </c>
      <c r="B8" t="s">
        <v>58</v>
      </c>
      <c r="C8" t="s">
        <v>59</v>
      </c>
      <c r="D8">
        <v>135629</v>
      </c>
      <c r="E8">
        <v>665870</v>
      </c>
      <c r="F8" s="13">
        <v>0.20368690585249374</v>
      </c>
    </row>
    <row r="9" spans="1:6" x14ac:dyDescent="0.25">
      <c r="A9">
        <v>2017</v>
      </c>
      <c r="B9" t="s">
        <v>58</v>
      </c>
      <c r="C9" t="s">
        <v>70</v>
      </c>
      <c r="D9">
        <v>3182515</v>
      </c>
      <c r="E9">
        <v>15311461</v>
      </c>
      <c r="F9" s="13">
        <v>0.20785181766782412</v>
      </c>
    </row>
    <row r="10" spans="1:6" x14ac:dyDescent="0.25">
      <c r="A10">
        <v>2011</v>
      </c>
      <c r="B10" t="s">
        <v>58</v>
      </c>
      <c r="C10" t="s">
        <v>70</v>
      </c>
      <c r="D10">
        <v>3134493</v>
      </c>
      <c r="E10">
        <v>15045965</v>
      </c>
      <c r="F10" s="13">
        <v>0.20832781413488599</v>
      </c>
    </row>
    <row r="11" spans="1:6" x14ac:dyDescent="0.25">
      <c r="A11">
        <v>2016</v>
      </c>
      <c r="B11" t="s">
        <v>58</v>
      </c>
      <c r="C11" t="s">
        <v>70</v>
      </c>
      <c r="D11">
        <v>3860061</v>
      </c>
      <c r="E11">
        <v>17769102</v>
      </c>
      <c r="F11" s="13">
        <v>0.21723444437428521</v>
      </c>
    </row>
    <row r="12" spans="1:6" x14ac:dyDescent="0.25">
      <c r="A12">
        <v>2010</v>
      </c>
      <c r="B12" t="s">
        <v>58</v>
      </c>
      <c r="C12" t="s">
        <v>70</v>
      </c>
      <c r="D12">
        <v>3475487</v>
      </c>
      <c r="E12">
        <v>15974059</v>
      </c>
      <c r="F12" s="13">
        <v>0.2175706875753996</v>
      </c>
    </row>
    <row r="13" spans="1:6" x14ac:dyDescent="0.25">
      <c r="A13">
        <v>2015</v>
      </c>
      <c r="B13" t="s">
        <v>62</v>
      </c>
      <c r="C13" t="s">
        <v>70</v>
      </c>
      <c r="D13">
        <v>442291</v>
      </c>
      <c r="E13">
        <v>1976166</v>
      </c>
      <c r="F13" s="13">
        <v>0.22381267565579005</v>
      </c>
    </row>
    <row r="14" spans="1:6" x14ac:dyDescent="0.25">
      <c r="A14">
        <v>2011</v>
      </c>
      <c r="B14" t="s">
        <v>62</v>
      </c>
      <c r="C14" t="s">
        <v>70</v>
      </c>
      <c r="D14">
        <v>517734</v>
      </c>
      <c r="E14">
        <v>2257296</v>
      </c>
      <c r="F14" s="13">
        <v>0.22936026112658686</v>
      </c>
    </row>
    <row r="15" spans="1:6" x14ac:dyDescent="0.25">
      <c r="A15">
        <v>2014</v>
      </c>
      <c r="B15" t="s">
        <v>58</v>
      </c>
      <c r="C15" t="s">
        <v>70</v>
      </c>
      <c r="D15">
        <v>4312156</v>
      </c>
      <c r="E15">
        <v>18380137</v>
      </c>
      <c r="F15" s="13">
        <v>0.23460956792650675</v>
      </c>
    </row>
    <row r="16" spans="1:6" x14ac:dyDescent="0.25">
      <c r="A16">
        <v>2012</v>
      </c>
      <c r="B16" t="s">
        <v>58</v>
      </c>
      <c r="C16" t="s">
        <v>70</v>
      </c>
      <c r="D16">
        <v>3259894</v>
      </c>
      <c r="E16">
        <v>13629898</v>
      </c>
      <c r="F16" s="13">
        <v>0.23917229608027882</v>
      </c>
    </row>
    <row r="17" spans="1:6" x14ac:dyDescent="0.25">
      <c r="A17">
        <v>2010</v>
      </c>
      <c r="B17" t="s">
        <v>60</v>
      </c>
      <c r="C17" t="s">
        <v>70</v>
      </c>
      <c r="D17">
        <v>5176412</v>
      </c>
      <c r="E17">
        <v>21469024</v>
      </c>
      <c r="F17" s="13">
        <v>0.24111072771636008</v>
      </c>
    </row>
    <row r="18" spans="1:6" x14ac:dyDescent="0.25">
      <c r="A18">
        <v>2016</v>
      </c>
      <c r="B18" t="s">
        <v>62</v>
      </c>
      <c r="C18" t="s">
        <v>70</v>
      </c>
      <c r="D18">
        <v>734622</v>
      </c>
      <c r="E18">
        <v>3030932</v>
      </c>
      <c r="F18" s="13">
        <v>0.24237495265482698</v>
      </c>
    </row>
    <row r="19" spans="1:6" x14ac:dyDescent="0.25">
      <c r="A19">
        <v>2010</v>
      </c>
      <c r="B19" t="s">
        <v>58</v>
      </c>
      <c r="C19" t="s">
        <v>59</v>
      </c>
      <c r="D19">
        <v>155046</v>
      </c>
      <c r="E19">
        <v>631835</v>
      </c>
      <c r="F19" s="13">
        <v>0.24539001479816724</v>
      </c>
    </row>
    <row r="20" spans="1:6" x14ac:dyDescent="0.25">
      <c r="A20">
        <v>2017</v>
      </c>
      <c r="B20" t="s">
        <v>58</v>
      </c>
      <c r="C20" t="s">
        <v>59</v>
      </c>
      <c r="D20">
        <v>24351</v>
      </c>
      <c r="E20">
        <v>97923</v>
      </c>
      <c r="F20" s="13">
        <v>0.24867497932048652</v>
      </c>
    </row>
    <row r="21" spans="1:6" x14ac:dyDescent="0.25">
      <c r="A21">
        <v>2013</v>
      </c>
      <c r="B21" t="s">
        <v>58</v>
      </c>
      <c r="C21" t="s">
        <v>70</v>
      </c>
      <c r="D21">
        <v>3367907</v>
      </c>
      <c r="E21">
        <v>13115548</v>
      </c>
      <c r="F21" s="13">
        <v>0.25678736412691255</v>
      </c>
    </row>
    <row r="22" spans="1:6" x14ac:dyDescent="0.25">
      <c r="A22">
        <v>2012</v>
      </c>
      <c r="B22" t="s">
        <v>62</v>
      </c>
      <c r="C22" t="s">
        <v>70</v>
      </c>
      <c r="D22">
        <v>804590</v>
      </c>
      <c r="E22">
        <v>2940115</v>
      </c>
      <c r="F22" s="13">
        <v>0.27365936366434646</v>
      </c>
    </row>
    <row r="23" spans="1:6" x14ac:dyDescent="0.25">
      <c r="A23">
        <v>2014</v>
      </c>
      <c r="B23" t="s">
        <v>62</v>
      </c>
      <c r="C23" t="s">
        <v>70</v>
      </c>
      <c r="D23">
        <v>320472</v>
      </c>
      <c r="E23">
        <v>1167357</v>
      </c>
      <c r="F23" s="13">
        <v>0.27452784366736138</v>
      </c>
    </row>
    <row r="24" spans="1:6" x14ac:dyDescent="0.25">
      <c r="A24">
        <v>2016</v>
      </c>
      <c r="B24" t="s">
        <v>60</v>
      </c>
      <c r="C24" t="s">
        <v>70</v>
      </c>
      <c r="D24">
        <v>8313150</v>
      </c>
      <c r="E24">
        <v>29214994</v>
      </c>
      <c r="F24" s="13">
        <v>0.28455080291989793</v>
      </c>
    </row>
    <row r="25" spans="1:6" x14ac:dyDescent="0.25">
      <c r="A25">
        <v>2013</v>
      </c>
      <c r="B25" t="s">
        <v>60</v>
      </c>
      <c r="C25" t="s">
        <v>59</v>
      </c>
      <c r="D25">
        <v>2465572</v>
      </c>
      <c r="E25">
        <v>8571133</v>
      </c>
      <c r="F25" s="13">
        <v>0.28765998614185545</v>
      </c>
    </row>
    <row r="26" spans="1:6" x14ac:dyDescent="0.25">
      <c r="A26">
        <v>2014</v>
      </c>
      <c r="B26" t="s">
        <v>60</v>
      </c>
      <c r="C26" t="s">
        <v>70</v>
      </c>
      <c r="D26">
        <v>7492248</v>
      </c>
      <c r="E26">
        <v>25180531</v>
      </c>
      <c r="F26" s="13">
        <v>0.29754130284226332</v>
      </c>
    </row>
    <row r="27" spans="1:6" x14ac:dyDescent="0.25">
      <c r="A27">
        <v>2015</v>
      </c>
      <c r="B27" t="s">
        <v>60</v>
      </c>
      <c r="C27" t="s">
        <v>70</v>
      </c>
      <c r="D27">
        <v>9374226</v>
      </c>
      <c r="E27">
        <v>31352376</v>
      </c>
      <c r="F27" s="13">
        <v>0.29899571247805906</v>
      </c>
    </row>
    <row r="28" spans="1:6" x14ac:dyDescent="0.25">
      <c r="A28">
        <v>2015</v>
      </c>
      <c r="B28" t="s">
        <v>63</v>
      </c>
      <c r="C28" t="s">
        <v>70</v>
      </c>
      <c r="D28">
        <v>269172</v>
      </c>
      <c r="E28">
        <v>891031</v>
      </c>
      <c r="F28" s="13">
        <v>0.30209049965713874</v>
      </c>
    </row>
    <row r="29" spans="1:6" x14ac:dyDescent="0.25">
      <c r="A29">
        <v>2010</v>
      </c>
      <c r="B29" t="s">
        <v>62</v>
      </c>
      <c r="C29" t="s">
        <v>70</v>
      </c>
      <c r="D29">
        <v>651716</v>
      </c>
      <c r="E29">
        <v>2141705</v>
      </c>
      <c r="F29" s="13">
        <v>0.30429774408707083</v>
      </c>
    </row>
    <row r="30" spans="1:6" x14ac:dyDescent="0.25">
      <c r="A30">
        <v>2017</v>
      </c>
      <c r="B30" t="s">
        <v>60</v>
      </c>
      <c r="C30" t="s">
        <v>70</v>
      </c>
      <c r="D30">
        <v>11638903</v>
      </c>
      <c r="E30">
        <v>37905444</v>
      </c>
      <c r="F30" s="13">
        <v>0.30705096080657968</v>
      </c>
    </row>
    <row r="31" spans="1:6" x14ac:dyDescent="0.25">
      <c r="A31">
        <v>2012</v>
      </c>
      <c r="B31" t="s">
        <v>63</v>
      </c>
      <c r="C31" t="s">
        <v>70</v>
      </c>
      <c r="D31">
        <v>131161</v>
      </c>
      <c r="E31">
        <v>422725</v>
      </c>
      <c r="F31" s="13">
        <v>0.31027500147850257</v>
      </c>
    </row>
    <row r="32" spans="1:6" x14ac:dyDescent="0.25">
      <c r="A32">
        <v>2016</v>
      </c>
      <c r="B32" t="s">
        <v>63</v>
      </c>
      <c r="C32" t="s">
        <v>70</v>
      </c>
      <c r="D32">
        <v>302641</v>
      </c>
      <c r="E32">
        <v>886373</v>
      </c>
      <c r="F32" s="13">
        <v>0.34143752122413479</v>
      </c>
    </row>
    <row r="33" spans="1:6" x14ac:dyDescent="0.25">
      <c r="A33">
        <v>2012</v>
      </c>
      <c r="B33" t="s">
        <v>60</v>
      </c>
      <c r="C33" t="s">
        <v>70</v>
      </c>
      <c r="D33">
        <v>9188427</v>
      </c>
      <c r="E33">
        <v>26288523</v>
      </c>
      <c r="F33" s="13">
        <v>0.34952237522054774</v>
      </c>
    </row>
    <row r="34" spans="1:6" x14ac:dyDescent="0.25">
      <c r="A34">
        <v>2013</v>
      </c>
      <c r="B34" t="s">
        <v>60</v>
      </c>
      <c r="C34" t="s">
        <v>70</v>
      </c>
      <c r="D34">
        <v>7891666</v>
      </c>
      <c r="E34">
        <v>22534525</v>
      </c>
      <c r="F34" s="13">
        <v>0.35020334353619614</v>
      </c>
    </row>
    <row r="35" spans="1:6" x14ac:dyDescent="0.25">
      <c r="A35">
        <v>2010</v>
      </c>
      <c r="B35" t="s">
        <v>60</v>
      </c>
      <c r="C35" t="s">
        <v>59</v>
      </c>
      <c r="D35">
        <v>2921905</v>
      </c>
      <c r="E35">
        <v>8134291</v>
      </c>
      <c r="F35" s="13">
        <v>0.35920831944664877</v>
      </c>
    </row>
    <row r="36" spans="1:6" x14ac:dyDescent="0.25">
      <c r="A36">
        <v>2015</v>
      </c>
      <c r="B36" t="s">
        <v>66</v>
      </c>
      <c r="C36" t="s">
        <v>70</v>
      </c>
      <c r="D36">
        <v>1902943</v>
      </c>
      <c r="E36">
        <v>5163589</v>
      </c>
      <c r="F36" s="13">
        <v>0.36853107402622476</v>
      </c>
    </row>
    <row r="37" spans="1:6" x14ac:dyDescent="0.25">
      <c r="A37">
        <v>2017</v>
      </c>
      <c r="B37" t="s">
        <v>62</v>
      </c>
      <c r="C37" t="s">
        <v>70</v>
      </c>
      <c r="D37">
        <v>1697672</v>
      </c>
      <c r="E37">
        <v>4131345</v>
      </c>
      <c r="F37" s="13">
        <v>0.4109247714727286</v>
      </c>
    </row>
    <row r="38" spans="1:6" x14ac:dyDescent="0.25">
      <c r="A38">
        <v>2015</v>
      </c>
      <c r="B38" t="s">
        <v>65</v>
      </c>
      <c r="C38" t="s">
        <v>70</v>
      </c>
      <c r="D38">
        <v>3133948</v>
      </c>
      <c r="E38">
        <v>7559861</v>
      </c>
      <c r="F38" s="13">
        <v>0.4145510082791205</v>
      </c>
    </row>
    <row r="39" spans="1:6" x14ac:dyDescent="0.25">
      <c r="A39">
        <v>2013</v>
      </c>
      <c r="B39" t="s">
        <v>63</v>
      </c>
      <c r="C39" t="s">
        <v>70</v>
      </c>
      <c r="D39">
        <v>61343</v>
      </c>
      <c r="E39">
        <v>139465</v>
      </c>
      <c r="F39" s="13">
        <v>0.43984512243215146</v>
      </c>
    </row>
    <row r="40" spans="1:6" x14ac:dyDescent="0.25">
      <c r="A40">
        <v>2011</v>
      </c>
      <c r="B40" t="s">
        <v>60</v>
      </c>
      <c r="C40" t="s">
        <v>70</v>
      </c>
      <c r="D40">
        <v>6531005</v>
      </c>
      <c r="E40">
        <v>14816147</v>
      </c>
      <c r="F40" s="13">
        <v>0.44080319937430429</v>
      </c>
    </row>
    <row r="41" spans="1:6" x14ac:dyDescent="0.25">
      <c r="A41">
        <v>2016</v>
      </c>
      <c r="B41" t="s">
        <v>65</v>
      </c>
      <c r="C41" t="s">
        <v>70</v>
      </c>
      <c r="D41">
        <v>3414387</v>
      </c>
      <c r="E41">
        <v>7740894</v>
      </c>
      <c r="F41" s="13">
        <v>0.44108432436873568</v>
      </c>
    </row>
    <row r="42" spans="1:6" x14ac:dyDescent="0.25">
      <c r="A42">
        <v>2017</v>
      </c>
      <c r="B42" t="s">
        <v>66</v>
      </c>
      <c r="C42" t="s">
        <v>70</v>
      </c>
      <c r="D42">
        <v>3211741</v>
      </c>
      <c r="E42">
        <v>7271499</v>
      </c>
      <c r="F42" s="13">
        <v>0.44168898324815831</v>
      </c>
    </row>
    <row r="43" spans="1:6" x14ac:dyDescent="0.25">
      <c r="A43">
        <v>2015</v>
      </c>
      <c r="B43" t="s">
        <v>61</v>
      </c>
      <c r="C43" t="s">
        <v>59</v>
      </c>
      <c r="D43">
        <v>144</v>
      </c>
      <c r="E43">
        <v>325</v>
      </c>
      <c r="F43" s="13">
        <v>0.44307692307692309</v>
      </c>
    </row>
    <row r="44" spans="1:6" x14ac:dyDescent="0.25">
      <c r="A44">
        <v>2017</v>
      </c>
      <c r="B44" t="s">
        <v>61</v>
      </c>
      <c r="C44" t="s">
        <v>70</v>
      </c>
      <c r="D44">
        <v>752881</v>
      </c>
      <c r="E44">
        <v>1678250</v>
      </c>
      <c r="F44" s="13">
        <v>0.44861075525100552</v>
      </c>
    </row>
    <row r="45" spans="1:6" x14ac:dyDescent="0.25">
      <c r="A45">
        <v>2011</v>
      </c>
      <c r="B45" t="s">
        <v>66</v>
      </c>
      <c r="C45" t="s">
        <v>70</v>
      </c>
      <c r="D45">
        <v>1981724</v>
      </c>
      <c r="E45">
        <v>4328984</v>
      </c>
      <c r="F45" s="13">
        <v>0.45778039373672896</v>
      </c>
    </row>
    <row r="46" spans="1:6" x14ac:dyDescent="0.25">
      <c r="A46">
        <v>2014</v>
      </c>
      <c r="B46" t="s">
        <v>63</v>
      </c>
      <c r="C46" t="s">
        <v>70</v>
      </c>
      <c r="D46">
        <v>194125</v>
      </c>
      <c r="E46">
        <v>421235</v>
      </c>
      <c r="F46" s="13">
        <v>0.46084727052595342</v>
      </c>
    </row>
    <row r="47" spans="1:6" x14ac:dyDescent="0.25">
      <c r="A47">
        <v>2011</v>
      </c>
      <c r="B47" t="s">
        <v>60</v>
      </c>
      <c r="C47" t="s">
        <v>59</v>
      </c>
      <c r="D47">
        <v>4760667</v>
      </c>
      <c r="E47">
        <v>10274872</v>
      </c>
      <c r="F47" s="13">
        <v>0.4633310273840881</v>
      </c>
    </row>
    <row r="48" spans="1:6" x14ac:dyDescent="0.25">
      <c r="A48">
        <v>2017</v>
      </c>
      <c r="B48" t="s">
        <v>65</v>
      </c>
      <c r="C48" t="s">
        <v>70</v>
      </c>
      <c r="D48">
        <v>3869139</v>
      </c>
      <c r="E48">
        <v>8198598</v>
      </c>
      <c r="F48" s="13">
        <v>0.47192690750296573</v>
      </c>
    </row>
    <row r="49" spans="1:6" x14ac:dyDescent="0.25">
      <c r="A49">
        <v>2016</v>
      </c>
      <c r="B49" t="s">
        <v>66</v>
      </c>
      <c r="C49" t="s">
        <v>70</v>
      </c>
      <c r="D49">
        <v>2897132</v>
      </c>
      <c r="E49">
        <v>6107715</v>
      </c>
      <c r="F49" s="13">
        <v>0.47433974898959758</v>
      </c>
    </row>
    <row r="50" spans="1:6" x14ac:dyDescent="0.25">
      <c r="A50">
        <v>2010</v>
      </c>
      <c r="B50" t="s">
        <v>66</v>
      </c>
      <c r="C50" t="s">
        <v>70</v>
      </c>
      <c r="D50">
        <v>1595478</v>
      </c>
      <c r="E50">
        <v>3360077</v>
      </c>
      <c r="F50" s="13">
        <v>0.47483376125011423</v>
      </c>
    </row>
    <row r="51" spans="1:6" x14ac:dyDescent="0.25">
      <c r="A51">
        <v>2015</v>
      </c>
      <c r="B51" t="s">
        <v>60</v>
      </c>
      <c r="C51" t="s">
        <v>59</v>
      </c>
      <c r="D51">
        <v>8264225</v>
      </c>
      <c r="E51">
        <v>17243157</v>
      </c>
      <c r="F51" s="13">
        <v>0.47927563380650073</v>
      </c>
    </row>
    <row r="52" spans="1:6" x14ac:dyDescent="0.25">
      <c r="A52">
        <v>2013</v>
      </c>
      <c r="B52" t="s">
        <v>65</v>
      </c>
      <c r="C52" t="s">
        <v>70</v>
      </c>
      <c r="D52">
        <v>3532734</v>
      </c>
      <c r="E52">
        <v>7236403</v>
      </c>
      <c r="F52" s="13">
        <v>0.48818922881989851</v>
      </c>
    </row>
    <row r="53" spans="1:6" x14ac:dyDescent="0.25">
      <c r="A53">
        <v>2014</v>
      </c>
      <c r="B53" t="s">
        <v>66</v>
      </c>
      <c r="C53" t="s">
        <v>70</v>
      </c>
      <c r="D53">
        <v>2694866</v>
      </c>
      <c r="E53">
        <v>5490449</v>
      </c>
      <c r="F53" s="13">
        <v>0.49082798146381107</v>
      </c>
    </row>
    <row r="54" spans="1:6" x14ac:dyDescent="0.25">
      <c r="A54">
        <v>2010</v>
      </c>
      <c r="B54" t="s">
        <v>65</v>
      </c>
      <c r="C54" t="s">
        <v>70</v>
      </c>
      <c r="D54">
        <v>3350618</v>
      </c>
      <c r="E54">
        <v>6762425</v>
      </c>
      <c r="F54" s="13">
        <v>0.49547580934354168</v>
      </c>
    </row>
    <row r="55" spans="1:6" x14ac:dyDescent="0.25">
      <c r="A55">
        <v>2012</v>
      </c>
      <c r="B55" t="s">
        <v>65</v>
      </c>
      <c r="C55" t="s">
        <v>70</v>
      </c>
      <c r="D55">
        <v>4000308</v>
      </c>
      <c r="E55">
        <v>7905716</v>
      </c>
      <c r="F55" s="13">
        <v>0.50600198641084504</v>
      </c>
    </row>
    <row r="56" spans="1:6" x14ac:dyDescent="0.25">
      <c r="A56">
        <v>2011</v>
      </c>
      <c r="B56" t="s">
        <v>65</v>
      </c>
      <c r="C56" t="s">
        <v>70</v>
      </c>
      <c r="D56">
        <v>4035298</v>
      </c>
      <c r="E56">
        <v>7851433</v>
      </c>
      <c r="F56" s="13">
        <v>0.5139568789544533</v>
      </c>
    </row>
    <row r="57" spans="1:6" x14ac:dyDescent="0.25">
      <c r="A57">
        <v>2014</v>
      </c>
      <c r="B57" t="s">
        <v>60</v>
      </c>
      <c r="C57" t="s">
        <v>59</v>
      </c>
      <c r="D57">
        <v>3912431</v>
      </c>
      <c r="E57">
        <v>7559428</v>
      </c>
      <c r="F57" s="13">
        <v>0.51755648707812285</v>
      </c>
    </row>
    <row r="58" spans="1:6" x14ac:dyDescent="0.25">
      <c r="A58">
        <v>2012</v>
      </c>
      <c r="B58" t="s">
        <v>66</v>
      </c>
      <c r="C58" t="s">
        <v>70</v>
      </c>
      <c r="D58">
        <v>2372469</v>
      </c>
      <c r="E58">
        <v>4496128</v>
      </c>
      <c r="F58" s="13">
        <v>0.52766936350566529</v>
      </c>
    </row>
    <row r="59" spans="1:6" x14ac:dyDescent="0.25">
      <c r="A59">
        <v>2013</v>
      </c>
      <c r="B59" t="s">
        <v>61</v>
      </c>
      <c r="C59" t="s">
        <v>59</v>
      </c>
      <c r="D59">
        <v>4348</v>
      </c>
      <c r="E59">
        <v>8130</v>
      </c>
      <c r="F59" s="13">
        <v>0.53480934809348091</v>
      </c>
    </row>
    <row r="60" spans="1:6" x14ac:dyDescent="0.25">
      <c r="A60">
        <v>2012</v>
      </c>
      <c r="B60" t="s">
        <v>60</v>
      </c>
      <c r="C60" t="s">
        <v>59</v>
      </c>
      <c r="D60">
        <v>1874931</v>
      </c>
      <c r="E60">
        <v>3413628</v>
      </c>
      <c r="F60" s="13">
        <v>0.54924877578927755</v>
      </c>
    </row>
    <row r="61" spans="1:6" x14ac:dyDescent="0.25">
      <c r="A61">
        <v>2011</v>
      </c>
      <c r="B61" t="s">
        <v>63</v>
      </c>
      <c r="C61" t="s">
        <v>70</v>
      </c>
      <c r="D61">
        <v>447658</v>
      </c>
      <c r="E61">
        <v>809700</v>
      </c>
      <c r="F61" s="13">
        <v>0.55286896381375816</v>
      </c>
    </row>
    <row r="62" spans="1:6" x14ac:dyDescent="0.25">
      <c r="A62">
        <v>2013</v>
      </c>
      <c r="B62" t="s">
        <v>66</v>
      </c>
      <c r="C62" t="s">
        <v>70</v>
      </c>
      <c r="D62">
        <v>2022240</v>
      </c>
      <c r="E62">
        <v>3630018</v>
      </c>
      <c r="F62" s="13">
        <v>0.55708814667034712</v>
      </c>
    </row>
    <row r="63" spans="1:6" x14ac:dyDescent="0.25">
      <c r="A63">
        <v>2010</v>
      </c>
      <c r="B63" t="s">
        <v>61</v>
      </c>
      <c r="C63" t="s">
        <v>70</v>
      </c>
      <c r="D63">
        <v>302572</v>
      </c>
      <c r="E63">
        <v>530493</v>
      </c>
      <c r="F63" s="13">
        <v>0.57036002360068838</v>
      </c>
    </row>
    <row r="64" spans="1:6" x14ac:dyDescent="0.25">
      <c r="A64">
        <v>2013</v>
      </c>
      <c r="B64" t="s">
        <v>62</v>
      </c>
      <c r="C64" t="s">
        <v>59</v>
      </c>
      <c r="D64">
        <v>6637421</v>
      </c>
      <c r="E64">
        <v>11576251</v>
      </c>
      <c r="F64" s="13">
        <v>0.57336533217878571</v>
      </c>
    </row>
    <row r="65" spans="1:6" x14ac:dyDescent="0.25">
      <c r="A65">
        <v>2016</v>
      </c>
      <c r="B65" t="s">
        <v>61</v>
      </c>
      <c r="C65" t="s">
        <v>70</v>
      </c>
      <c r="D65">
        <v>396295</v>
      </c>
      <c r="E65">
        <v>690237</v>
      </c>
      <c r="F65" s="13">
        <v>0.57414337394257331</v>
      </c>
    </row>
    <row r="66" spans="1:6" x14ac:dyDescent="0.25">
      <c r="A66">
        <v>2014</v>
      </c>
      <c r="B66" t="s">
        <v>63</v>
      </c>
      <c r="C66" t="s">
        <v>59</v>
      </c>
      <c r="D66">
        <v>236550</v>
      </c>
      <c r="E66">
        <v>410533</v>
      </c>
      <c r="F66" s="13">
        <v>0.57620215670847408</v>
      </c>
    </row>
    <row r="67" spans="1:6" x14ac:dyDescent="0.25">
      <c r="A67">
        <v>2014</v>
      </c>
      <c r="B67" t="s">
        <v>64</v>
      </c>
      <c r="C67" t="s">
        <v>70</v>
      </c>
      <c r="D67">
        <v>2862879</v>
      </c>
      <c r="E67">
        <v>4965240</v>
      </c>
      <c r="F67" s="13">
        <v>0.57658421345191768</v>
      </c>
    </row>
    <row r="68" spans="1:6" x14ac:dyDescent="0.25">
      <c r="A68">
        <v>2014</v>
      </c>
      <c r="B68" t="s">
        <v>62</v>
      </c>
      <c r="C68" t="s">
        <v>59</v>
      </c>
      <c r="D68">
        <v>2321609</v>
      </c>
      <c r="E68">
        <v>3964062</v>
      </c>
      <c r="F68" s="13">
        <v>0.58566414955164681</v>
      </c>
    </row>
    <row r="69" spans="1:6" x14ac:dyDescent="0.25">
      <c r="A69">
        <v>2014</v>
      </c>
      <c r="B69" t="s">
        <v>61</v>
      </c>
      <c r="C69" t="s">
        <v>70</v>
      </c>
      <c r="D69">
        <v>488205</v>
      </c>
      <c r="E69">
        <v>831074</v>
      </c>
      <c r="F69" s="13">
        <v>0.58743866370503706</v>
      </c>
    </row>
    <row r="70" spans="1:6" x14ac:dyDescent="0.25">
      <c r="A70">
        <v>2014</v>
      </c>
      <c r="B70" t="s">
        <v>65</v>
      </c>
      <c r="C70" t="s">
        <v>70</v>
      </c>
      <c r="D70">
        <v>3926989</v>
      </c>
      <c r="E70">
        <v>6636790</v>
      </c>
      <c r="F70" s="13">
        <v>0.59170005379106461</v>
      </c>
    </row>
    <row r="71" spans="1:6" x14ac:dyDescent="0.25">
      <c r="A71">
        <v>2016</v>
      </c>
      <c r="B71" t="s">
        <v>60</v>
      </c>
      <c r="C71" t="s">
        <v>59</v>
      </c>
      <c r="D71">
        <v>8074198</v>
      </c>
      <c r="E71">
        <v>13585771</v>
      </c>
      <c r="F71" s="13">
        <v>0.59431282920932493</v>
      </c>
    </row>
    <row r="72" spans="1:6" x14ac:dyDescent="0.25">
      <c r="A72">
        <v>2012</v>
      </c>
      <c r="B72" t="s">
        <v>64</v>
      </c>
      <c r="C72" t="s">
        <v>70</v>
      </c>
      <c r="D72">
        <v>1628625</v>
      </c>
      <c r="E72">
        <v>2739789</v>
      </c>
      <c r="F72" s="13">
        <v>0.59443446192389271</v>
      </c>
    </row>
    <row r="73" spans="1:6" x14ac:dyDescent="0.25">
      <c r="A73">
        <v>2015</v>
      </c>
      <c r="B73" t="s">
        <v>62</v>
      </c>
      <c r="C73" t="s">
        <v>59</v>
      </c>
      <c r="D73">
        <v>3254747</v>
      </c>
      <c r="E73">
        <v>5441874</v>
      </c>
      <c r="F73" s="13">
        <v>0.59809304662327722</v>
      </c>
    </row>
    <row r="74" spans="1:6" x14ac:dyDescent="0.25">
      <c r="A74">
        <v>2016</v>
      </c>
      <c r="B74" t="s">
        <v>64</v>
      </c>
      <c r="C74" t="s">
        <v>70</v>
      </c>
      <c r="D74">
        <v>5570741</v>
      </c>
      <c r="E74">
        <v>9260773</v>
      </c>
      <c r="F74" s="13">
        <v>0.60154168555907805</v>
      </c>
    </row>
    <row r="75" spans="1:6" x14ac:dyDescent="0.25">
      <c r="A75">
        <v>2015</v>
      </c>
      <c r="B75" t="s">
        <v>64</v>
      </c>
      <c r="C75" t="s">
        <v>70</v>
      </c>
      <c r="D75">
        <v>4768098</v>
      </c>
      <c r="E75">
        <v>7901919</v>
      </c>
      <c r="F75" s="13">
        <v>0.60341013366499963</v>
      </c>
    </row>
    <row r="76" spans="1:6" x14ac:dyDescent="0.25">
      <c r="A76">
        <v>2014</v>
      </c>
      <c r="B76" t="s">
        <v>58</v>
      </c>
      <c r="C76" t="s">
        <v>59</v>
      </c>
      <c r="D76">
        <v>9256</v>
      </c>
      <c r="E76">
        <v>15253</v>
      </c>
      <c r="F76" s="13">
        <v>0.60683144299482072</v>
      </c>
    </row>
    <row r="77" spans="1:6" x14ac:dyDescent="0.25">
      <c r="A77">
        <v>2015</v>
      </c>
      <c r="B77" t="s">
        <v>61</v>
      </c>
      <c r="C77" t="s">
        <v>70</v>
      </c>
      <c r="D77">
        <v>380220</v>
      </c>
      <c r="E77">
        <v>622406</v>
      </c>
      <c r="F77" s="13">
        <v>0.61088742717775857</v>
      </c>
    </row>
    <row r="78" spans="1:6" x14ac:dyDescent="0.25">
      <c r="A78">
        <v>2010</v>
      </c>
      <c r="B78" t="s">
        <v>63</v>
      </c>
      <c r="C78" t="s">
        <v>59</v>
      </c>
      <c r="D78">
        <v>22956</v>
      </c>
      <c r="E78">
        <v>36499</v>
      </c>
      <c r="F78" s="13">
        <v>0.62894873832159781</v>
      </c>
    </row>
    <row r="79" spans="1:6" x14ac:dyDescent="0.25">
      <c r="A79">
        <v>2010</v>
      </c>
      <c r="B79" t="s">
        <v>64</v>
      </c>
      <c r="C79" t="s">
        <v>70</v>
      </c>
      <c r="D79">
        <v>1125580</v>
      </c>
      <c r="E79">
        <v>1784028</v>
      </c>
      <c r="F79" s="13">
        <v>0.63092059093242936</v>
      </c>
    </row>
    <row r="80" spans="1:6" x14ac:dyDescent="0.25">
      <c r="A80">
        <v>2011</v>
      </c>
      <c r="B80" t="s">
        <v>64</v>
      </c>
      <c r="C80" t="s">
        <v>70</v>
      </c>
      <c r="D80">
        <v>1386413</v>
      </c>
      <c r="E80">
        <v>2188693</v>
      </c>
      <c r="F80" s="13">
        <v>0.63344333810178033</v>
      </c>
    </row>
    <row r="81" spans="1:6" x14ac:dyDescent="0.25">
      <c r="A81">
        <v>2010</v>
      </c>
      <c r="B81" t="s">
        <v>63</v>
      </c>
      <c r="C81" t="s">
        <v>70</v>
      </c>
      <c r="D81">
        <v>233246</v>
      </c>
      <c r="E81">
        <v>366695</v>
      </c>
      <c r="F81" s="13">
        <v>0.63607630319475317</v>
      </c>
    </row>
    <row r="82" spans="1:6" x14ac:dyDescent="0.25">
      <c r="A82">
        <v>2013</v>
      </c>
      <c r="B82" t="s">
        <v>64</v>
      </c>
      <c r="C82" t="s">
        <v>59</v>
      </c>
      <c r="D82">
        <v>1171058</v>
      </c>
      <c r="E82">
        <v>1823302</v>
      </c>
      <c r="F82" s="13">
        <v>0.64227319445708941</v>
      </c>
    </row>
    <row r="83" spans="1:6" x14ac:dyDescent="0.25">
      <c r="A83">
        <v>2017</v>
      </c>
      <c r="B83" t="s">
        <v>63</v>
      </c>
      <c r="C83" t="s">
        <v>70</v>
      </c>
      <c r="D83">
        <v>1249928</v>
      </c>
      <c r="E83">
        <v>1944746</v>
      </c>
      <c r="F83" s="13">
        <v>0.64272043752757424</v>
      </c>
    </row>
    <row r="84" spans="1:6" x14ac:dyDescent="0.25">
      <c r="A84">
        <v>2012</v>
      </c>
      <c r="B84" t="s">
        <v>61</v>
      </c>
      <c r="C84" t="s">
        <v>70</v>
      </c>
      <c r="D84">
        <v>278945</v>
      </c>
      <c r="E84">
        <v>427750</v>
      </c>
      <c r="F84" s="13">
        <v>0.65212156633547635</v>
      </c>
    </row>
    <row r="85" spans="1:6" x14ac:dyDescent="0.25">
      <c r="A85">
        <v>2010</v>
      </c>
      <c r="B85" t="s">
        <v>62</v>
      </c>
      <c r="C85" t="s">
        <v>59</v>
      </c>
      <c r="D85">
        <v>4091900</v>
      </c>
      <c r="E85">
        <v>6238203</v>
      </c>
      <c r="F85" s="13">
        <v>0.65594210383983975</v>
      </c>
    </row>
    <row r="86" spans="1:6" x14ac:dyDescent="0.25">
      <c r="A86">
        <v>2013</v>
      </c>
      <c r="B86" t="s">
        <v>61</v>
      </c>
      <c r="C86" t="s">
        <v>70</v>
      </c>
      <c r="D86">
        <v>388211</v>
      </c>
      <c r="E86">
        <v>563384</v>
      </c>
      <c r="F86" s="13">
        <v>0.68906997713815088</v>
      </c>
    </row>
    <row r="87" spans="1:6" x14ac:dyDescent="0.25">
      <c r="A87">
        <v>2011</v>
      </c>
      <c r="B87" t="s">
        <v>61</v>
      </c>
      <c r="C87" t="s">
        <v>70</v>
      </c>
      <c r="D87">
        <v>267518</v>
      </c>
      <c r="E87">
        <v>387123</v>
      </c>
      <c r="F87" s="13">
        <v>0.69104134861529798</v>
      </c>
    </row>
    <row r="88" spans="1:6" x14ac:dyDescent="0.25">
      <c r="A88">
        <v>2016</v>
      </c>
      <c r="B88" t="s">
        <v>65</v>
      </c>
      <c r="C88" t="s">
        <v>59</v>
      </c>
      <c r="D88">
        <v>492590</v>
      </c>
      <c r="E88">
        <v>662410</v>
      </c>
      <c r="F88" s="13">
        <v>0.74363309732642924</v>
      </c>
    </row>
    <row r="89" spans="1:6" x14ac:dyDescent="0.25">
      <c r="A89">
        <v>2012</v>
      </c>
      <c r="B89" t="s">
        <v>62</v>
      </c>
      <c r="C89" t="s">
        <v>59</v>
      </c>
      <c r="D89">
        <v>4154735</v>
      </c>
      <c r="E89">
        <v>5571695</v>
      </c>
      <c r="F89" s="13">
        <v>0.74568600757938119</v>
      </c>
    </row>
    <row r="90" spans="1:6" x14ac:dyDescent="0.25">
      <c r="A90">
        <v>2011</v>
      </c>
      <c r="B90" t="s">
        <v>62</v>
      </c>
      <c r="C90" t="s">
        <v>59</v>
      </c>
      <c r="D90">
        <v>4075009</v>
      </c>
      <c r="E90">
        <v>5410956</v>
      </c>
      <c r="F90" s="13">
        <v>0.75310333331115609</v>
      </c>
    </row>
    <row r="91" spans="1:6" x14ac:dyDescent="0.25">
      <c r="A91">
        <v>2017</v>
      </c>
      <c r="B91" t="s">
        <v>64</v>
      </c>
      <c r="C91" t="s">
        <v>70</v>
      </c>
      <c r="D91">
        <v>9967897</v>
      </c>
      <c r="E91">
        <v>13116450</v>
      </c>
      <c r="F91" s="13">
        <v>0.75995387471457598</v>
      </c>
    </row>
    <row r="92" spans="1:6" x14ac:dyDescent="0.25">
      <c r="A92">
        <v>2017</v>
      </c>
      <c r="B92" t="s">
        <v>60</v>
      </c>
      <c r="C92" t="s">
        <v>59</v>
      </c>
      <c r="D92">
        <v>11885218</v>
      </c>
      <c r="E92">
        <v>15628379</v>
      </c>
      <c r="F92" s="13">
        <v>0.76048949158450785</v>
      </c>
    </row>
    <row r="93" spans="1:6" x14ac:dyDescent="0.25">
      <c r="A93">
        <v>2015</v>
      </c>
      <c r="B93" t="s">
        <v>65</v>
      </c>
      <c r="C93" t="s">
        <v>59</v>
      </c>
      <c r="D93">
        <v>873771</v>
      </c>
      <c r="E93">
        <v>1124643</v>
      </c>
      <c r="F93" s="13">
        <v>0.77693187971649669</v>
      </c>
    </row>
    <row r="94" spans="1:6" x14ac:dyDescent="0.25">
      <c r="A94">
        <v>2012</v>
      </c>
      <c r="B94" t="s">
        <v>64</v>
      </c>
      <c r="C94" t="s">
        <v>59</v>
      </c>
      <c r="D94">
        <v>648948</v>
      </c>
      <c r="E94">
        <v>834668</v>
      </c>
      <c r="F94" s="13">
        <v>0.77749236822305401</v>
      </c>
    </row>
    <row r="95" spans="1:6" x14ac:dyDescent="0.25">
      <c r="A95">
        <v>2016</v>
      </c>
      <c r="B95" t="s">
        <v>61</v>
      </c>
      <c r="C95" t="s">
        <v>59</v>
      </c>
      <c r="D95">
        <v>955</v>
      </c>
      <c r="E95">
        <v>1223</v>
      </c>
      <c r="F95" s="13">
        <v>0.7808667211774325</v>
      </c>
    </row>
    <row r="96" spans="1:6" x14ac:dyDescent="0.25">
      <c r="A96">
        <v>2016</v>
      </c>
      <c r="B96" t="s">
        <v>62</v>
      </c>
      <c r="C96" t="s">
        <v>59</v>
      </c>
      <c r="D96">
        <v>4314336</v>
      </c>
      <c r="E96">
        <v>5523522</v>
      </c>
      <c r="F96" s="13">
        <v>0.78108424298844104</v>
      </c>
    </row>
    <row r="97" spans="1:6" x14ac:dyDescent="0.25">
      <c r="A97">
        <v>2017</v>
      </c>
      <c r="B97" t="s">
        <v>65</v>
      </c>
      <c r="C97" t="s">
        <v>59</v>
      </c>
      <c r="D97">
        <v>924060</v>
      </c>
      <c r="E97">
        <v>1177608</v>
      </c>
      <c r="F97" s="13">
        <v>0.78469235942690607</v>
      </c>
    </row>
    <row r="98" spans="1:6" x14ac:dyDescent="0.25">
      <c r="A98">
        <v>2011</v>
      </c>
      <c r="B98" t="s">
        <v>64</v>
      </c>
      <c r="C98" t="s">
        <v>59</v>
      </c>
      <c r="D98">
        <v>1986116</v>
      </c>
      <c r="E98">
        <v>2398414</v>
      </c>
      <c r="F98" s="13">
        <v>0.82809556648685334</v>
      </c>
    </row>
    <row r="99" spans="1:6" x14ac:dyDescent="0.25">
      <c r="A99">
        <v>2013</v>
      </c>
      <c r="B99" t="s">
        <v>64</v>
      </c>
      <c r="C99" t="s">
        <v>70</v>
      </c>
      <c r="D99">
        <v>1264525</v>
      </c>
      <c r="E99">
        <v>1497944</v>
      </c>
      <c r="F99" s="13">
        <v>0.84417374748321694</v>
      </c>
    </row>
    <row r="100" spans="1:6" x14ac:dyDescent="0.25">
      <c r="A100">
        <v>2016</v>
      </c>
      <c r="B100" t="s">
        <v>67</v>
      </c>
      <c r="C100" t="s">
        <v>70</v>
      </c>
      <c r="D100">
        <v>351160</v>
      </c>
      <c r="E100">
        <v>402082</v>
      </c>
      <c r="F100" s="13">
        <v>0.87335419143358817</v>
      </c>
    </row>
    <row r="101" spans="1:6" x14ac:dyDescent="0.25">
      <c r="A101">
        <v>2017</v>
      </c>
      <c r="B101" t="s">
        <v>62</v>
      </c>
      <c r="C101" t="s">
        <v>59</v>
      </c>
      <c r="D101">
        <v>7170437</v>
      </c>
      <c r="E101">
        <v>8143625</v>
      </c>
      <c r="F101" s="13">
        <v>0.88049695313819087</v>
      </c>
    </row>
    <row r="102" spans="1:6" x14ac:dyDescent="0.25">
      <c r="A102">
        <v>2011</v>
      </c>
      <c r="B102" t="s">
        <v>61</v>
      </c>
      <c r="C102" t="s">
        <v>59</v>
      </c>
      <c r="D102">
        <v>73022</v>
      </c>
      <c r="E102">
        <v>80337</v>
      </c>
      <c r="F102" s="13">
        <v>0.90894606470244099</v>
      </c>
    </row>
    <row r="103" spans="1:6" x14ac:dyDescent="0.25">
      <c r="A103">
        <v>2015</v>
      </c>
      <c r="B103" t="s">
        <v>66</v>
      </c>
      <c r="C103" t="s">
        <v>59</v>
      </c>
      <c r="D103">
        <v>486675</v>
      </c>
      <c r="E103">
        <v>534125</v>
      </c>
      <c r="F103" s="13">
        <v>0.91116311724783527</v>
      </c>
    </row>
    <row r="104" spans="1:6" x14ac:dyDescent="0.25">
      <c r="A104">
        <v>2014</v>
      </c>
      <c r="B104" t="s">
        <v>66</v>
      </c>
      <c r="C104" t="s">
        <v>59</v>
      </c>
      <c r="D104">
        <v>583030</v>
      </c>
      <c r="E104">
        <v>623184</v>
      </c>
      <c r="F104" s="13">
        <v>0.9355663816786054</v>
      </c>
    </row>
    <row r="105" spans="1:6" x14ac:dyDescent="0.25">
      <c r="A105">
        <v>2014</v>
      </c>
      <c r="B105" t="s">
        <v>64</v>
      </c>
      <c r="C105" t="s">
        <v>59</v>
      </c>
      <c r="D105">
        <v>2890214</v>
      </c>
      <c r="E105">
        <v>3072934</v>
      </c>
      <c r="F105" s="13">
        <v>0.94053891167203718</v>
      </c>
    </row>
    <row r="106" spans="1:6" x14ac:dyDescent="0.25">
      <c r="A106">
        <v>2010</v>
      </c>
      <c r="B106" t="s">
        <v>64</v>
      </c>
      <c r="C106" t="s">
        <v>59</v>
      </c>
      <c r="D106">
        <v>1176877</v>
      </c>
      <c r="E106">
        <v>1196541</v>
      </c>
      <c r="F106" s="13">
        <v>0.98356596221943082</v>
      </c>
    </row>
    <row r="107" spans="1:6" x14ac:dyDescent="0.25">
      <c r="A107">
        <v>2017</v>
      </c>
      <c r="B107" t="s">
        <v>66</v>
      </c>
      <c r="C107" t="s">
        <v>59</v>
      </c>
      <c r="D107">
        <v>971305</v>
      </c>
      <c r="E107">
        <v>979212</v>
      </c>
      <c r="F107" s="13">
        <v>0.99192513980629327</v>
      </c>
    </row>
    <row r="108" spans="1:6" x14ac:dyDescent="0.25">
      <c r="A108">
        <v>2012</v>
      </c>
      <c r="B108" t="s">
        <v>65</v>
      </c>
      <c r="C108" t="s">
        <v>59</v>
      </c>
      <c r="D108">
        <v>697603</v>
      </c>
      <c r="E108">
        <v>701137</v>
      </c>
      <c r="F108" s="13">
        <v>0.99495961559581081</v>
      </c>
    </row>
    <row r="109" spans="1:6" x14ac:dyDescent="0.25">
      <c r="A109">
        <v>2012</v>
      </c>
      <c r="B109" t="s">
        <v>61</v>
      </c>
      <c r="C109" t="s">
        <v>59</v>
      </c>
      <c r="D109">
        <v>31623</v>
      </c>
      <c r="E109">
        <v>31695</v>
      </c>
      <c r="F109" s="13">
        <v>0.9977283483199243</v>
      </c>
    </row>
    <row r="110" spans="1:6" x14ac:dyDescent="0.25">
      <c r="A110">
        <v>2016</v>
      </c>
      <c r="B110" t="s">
        <v>64</v>
      </c>
      <c r="C110" t="s">
        <v>59</v>
      </c>
      <c r="D110">
        <v>8274331</v>
      </c>
      <c r="E110">
        <v>8267166</v>
      </c>
      <c r="F110" s="13">
        <v>1.0008666815206082</v>
      </c>
    </row>
    <row r="111" spans="1:6" x14ac:dyDescent="0.25">
      <c r="A111">
        <v>2010</v>
      </c>
      <c r="B111" t="s">
        <v>67</v>
      </c>
      <c r="C111" t="s">
        <v>70</v>
      </c>
      <c r="D111">
        <v>204676</v>
      </c>
      <c r="E111">
        <v>203669</v>
      </c>
      <c r="F111" s="13">
        <v>1.0049442968738493</v>
      </c>
    </row>
    <row r="112" spans="1:6" x14ac:dyDescent="0.25">
      <c r="A112">
        <v>2016</v>
      </c>
      <c r="B112" t="s">
        <v>66</v>
      </c>
      <c r="C112" t="s">
        <v>59</v>
      </c>
      <c r="D112">
        <v>1246515</v>
      </c>
      <c r="E112">
        <v>1238225</v>
      </c>
      <c r="F112" s="13">
        <v>1.006695067536191</v>
      </c>
    </row>
    <row r="113" spans="1:6" x14ac:dyDescent="0.25">
      <c r="A113">
        <v>2017</v>
      </c>
      <c r="B113" t="s">
        <v>67</v>
      </c>
      <c r="C113" t="s">
        <v>70</v>
      </c>
      <c r="D113">
        <v>310789</v>
      </c>
      <c r="E113">
        <v>308312</v>
      </c>
      <c r="F113" s="13">
        <v>1.00803406938426</v>
      </c>
    </row>
    <row r="114" spans="1:6" x14ac:dyDescent="0.25">
      <c r="A114">
        <v>2014</v>
      </c>
      <c r="B114" t="s">
        <v>67</v>
      </c>
      <c r="C114" t="s">
        <v>59</v>
      </c>
      <c r="D114">
        <v>42238</v>
      </c>
      <c r="E114">
        <v>41411</v>
      </c>
      <c r="F114" s="13">
        <v>1.0199705392287073</v>
      </c>
    </row>
    <row r="115" spans="1:6" x14ac:dyDescent="0.25">
      <c r="A115">
        <v>2013</v>
      </c>
      <c r="B115" t="s">
        <v>66</v>
      </c>
      <c r="C115" t="s">
        <v>59</v>
      </c>
      <c r="D115">
        <v>186756</v>
      </c>
      <c r="E115">
        <v>178938</v>
      </c>
      <c r="F115" s="13">
        <v>1.0436911108875699</v>
      </c>
    </row>
    <row r="116" spans="1:6" x14ac:dyDescent="0.25">
      <c r="A116">
        <v>2014</v>
      </c>
      <c r="B116" t="s">
        <v>65</v>
      </c>
      <c r="C116" t="s">
        <v>59</v>
      </c>
      <c r="D116">
        <v>524580</v>
      </c>
      <c r="E116">
        <v>502066</v>
      </c>
      <c r="F116" s="13">
        <v>1.0448427099225999</v>
      </c>
    </row>
    <row r="117" spans="1:6" x14ac:dyDescent="0.25">
      <c r="A117">
        <v>2011</v>
      </c>
      <c r="B117" t="s">
        <v>65</v>
      </c>
      <c r="C117" t="s">
        <v>59</v>
      </c>
      <c r="D117">
        <v>778257</v>
      </c>
      <c r="E117">
        <v>737569</v>
      </c>
      <c r="F117" s="13">
        <v>1.0551650082907498</v>
      </c>
    </row>
    <row r="118" spans="1:6" x14ac:dyDescent="0.25">
      <c r="A118">
        <v>2013</v>
      </c>
      <c r="B118" t="s">
        <v>65</v>
      </c>
      <c r="C118" t="s">
        <v>59</v>
      </c>
      <c r="D118">
        <v>497142</v>
      </c>
      <c r="E118">
        <v>468911</v>
      </c>
      <c r="F118" s="13">
        <v>1.0602054547664694</v>
      </c>
    </row>
    <row r="119" spans="1:6" x14ac:dyDescent="0.25">
      <c r="A119">
        <v>2010</v>
      </c>
      <c r="B119" t="s">
        <v>65</v>
      </c>
      <c r="C119" t="s">
        <v>59</v>
      </c>
      <c r="D119">
        <v>1173163</v>
      </c>
      <c r="E119">
        <v>1103824</v>
      </c>
      <c r="F119" s="13">
        <v>1.0628170795344185</v>
      </c>
    </row>
    <row r="120" spans="1:6" x14ac:dyDescent="0.25">
      <c r="A120">
        <v>2012</v>
      </c>
      <c r="B120" t="s">
        <v>67</v>
      </c>
      <c r="C120" t="s">
        <v>70</v>
      </c>
      <c r="D120">
        <v>251699</v>
      </c>
      <c r="E120">
        <v>236393</v>
      </c>
      <c r="F120" s="13">
        <v>1.0647481101386251</v>
      </c>
    </row>
    <row r="121" spans="1:6" x14ac:dyDescent="0.25">
      <c r="A121">
        <v>2015</v>
      </c>
      <c r="B121" t="s">
        <v>64</v>
      </c>
      <c r="C121" t="s">
        <v>59</v>
      </c>
      <c r="D121">
        <v>6143048</v>
      </c>
      <c r="E121">
        <v>5762655</v>
      </c>
      <c r="F121" s="13">
        <v>1.0660100248930398</v>
      </c>
    </row>
    <row r="122" spans="1:6" x14ac:dyDescent="0.25">
      <c r="A122">
        <v>2012</v>
      </c>
      <c r="B122" t="s">
        <v>66</v>
      </c>
      <c r="C122" t="s">
        <v>59</v>
      </c>
      <c r="D122">
        <v>580647</v>
      </c>
      <c r="E122">
        <v>542746</v>
      </c>
      <c r="F122" s="13">
        <v>1.0698319287475173</v>
      </c>
    </row>
    <row r="123" spans="1:6" x14ac:dyDescent="0.25">
      <c r="A123">
        <v>2012</v>
      </c>
      <c r="B123" t="s">
        <v>63</v>
      </c>
      <c r="C123" t="s">
        <v>59</v>
      </c>
      <c r="D123">
        <v>348371</v>
      </c>
      <c r="E123">
        <v>322302</v>
      </c>
      <c r="F123" s="13">
        <v>1.0808837673982787</v>
      </c>
    </row>
    <row r="124" spans="1:6" x14ac:dyDescent="0.25">
      <c r="A124">
        <v>2013</v>
      </c>
      <c r="B124" t="s">
        <v>67</v>
      </c>
      <c r="C124" t="s">
        <v>70</v>
      </c>
      <c r="D124">
        <v>318717</v>
      </c>
      <c r="E124">
        <v>289355</v>
      </c>
      <c r="F124" s="13">
        <v>1.1014739679632286</v>
      </c>
    </row>
    <row r="125" spans="1:6" x14ac:dyDescent="0.25">
      <c r="A125">
        <v>2011</v>
      </c>
      <c r="B125" t="s">
        <v>66</v>
      </c>
      <c r="C125" t="s">
        <v>59</v>
      </c>
      <c r="D125">
        <v>697236</v>
      </c>
      <c r="E125">
        <v>615558</v>
      </c>
      <c r="F125" s="13">
        <v>1.1326893647714755</v>
      </c>
    </row>
    <row r="126" spans="1:6" x14ac:dyDescent="0.25">
      <c r="A126">
        <v>2010</v>
      </c>
      <c r="B126" t="s">
        <v>66</v>
      </c>
      <c r="C126" t="s">
        <v>59</v>
      </c>
      <c r="D126">
        <v>686364</v>
      </c>
      <c r="E126">
        <v>571263</v>
      </c>
      <c r="F126" s="13">
        <v>1.2014851303165093</v>
      </c>
    </row>
    <row r="127" spans="1:6" x14ac:dyDescent="0.25">
      <c r="A127">
        <v>2014</v>
      </c>
      <c r="B127" t="s">
        <v>67</v>
      </c>
      <c r="C127" t="s">
        <v>70</v>
      </c>
      <c r="D127">
        <v>304113</v>
      </c>
      <c r="E127">
        <v>250400</v>
      </c>
      <c r="F127" s="13">
        <v>1.2145087859424921</v>
      </c>
    </row>
    <row r="128" spans="1:6" x14ac:dyDescent="0.25">
      <c r="A128">
        <v>2011</v>
      </c>
      <c r="B128" t="s">
        <v>63</v>
      </c>
      <c r="C128" t="s">
        <v>59</v>
      </c>
      <c r="D128">
        <v>171159</v>
      </c>
      <c r="E128">
        <v>139042</v>
      </c>
      <c r="F128" s="13">
        <v>1.2309877590943743</v>
      </c>
    </row>
    <row r="129" spans="1:6" x14ac:dyDescent="0.25">
      <c r="A129">
        <v>2011</v>
      </c>
      <c r="B129" t="s">
        <v>67</v>
      </c>
      <c r="C129" t="s">
        <v>70</v>
      </c>
      <c r="D129">
        <v>155560</v>
      </c>
      <c r="E129">
        <v>126013</v>
      </c>
      <c r="F129" s="13">
        <v>1.2344758080515503</v>
      </c>
    </row>
    <row r="130" spans="1:6" x14ac:dyDescent="0.25">
      <c r="A130">
        <v>2017</v>
      </c>
      <c r="B130" t="s">
        <v>64</v>
      </c>
      <c r="C130" t="s">
        <v>59</v>
      </c>
      <c r="D130">
        <v>13837144</v>
      </c>
      <c r="E130">
        <v>10874259</v>
      </c>
      <c r="F130" s="13">
        <v>1.2724677607917929</v>
      </c>
    </row>
    <row r="131" spans="1:6" x14ac:dyDescent="0.25">
      <c r="A131">
        <v>2013</v>
      </c>
      <c r="B131" t="s">
        <v>63</v>
      </c>
      <c r="C131" t="s">
        <v>59</v>
      </c>
      <c r="D131">
        <v>218129</v>
      </c>
      <c r="E131">
        <v>171296</v>
      </c>
      <c r="F131" s="13">
        <v>1.2734039323743696</v>
      </c>
    </row>
    <row r="132" spans="1:6" x14ac:dyDescent="0.25">
      <c r="A132">
        <v>2015</v>
      </c>
      <c r="B132" t="s">
        <v>67</v>
      </c>
      <c r="C132" t="s">
        <v>70</v>
      </c>
      <c r="D132">
        <v>277337</v>
      </c>
      <c r="E132">
        <v>214871</v>
      </c>
      <c r="F132" s="13">
        <v>1.290713963261678</v>
      </c>
    </row>
    <row r="133" spans="1:6" x14ac:dyDescent="0.25">
      <c r="A133">
        <v>2015</v>
      </c>
      <c r="B133" t="s">
        <v>67</v>
      </c>
      <c r="C133" t="s">
        <v>59</v>
      </c>
      <c r="D133">
        <v>60061</v>
      </c>
      <c r="E133">
        <v>45246</v>
      </c>
      <c r="F133" s="13">
        <v>1.3274322592052337</v>
      </c>
    </row>
    <row r="134" spans="1:6" x14ac:dyDescent="0.25">
      <c r="A134">
        <v>2017</v>
      </c>
      <c r="B134" t="s">
        <v>61</v>
      </c>
      <c r="C134" t="s">
        <v>59</v>
      </c>
      <c r="D134">
        <v>1997</v>
      </c>
      <c r="E134">
        <v>1440</v>
      </c>
      <c r="F134" s="13">
        <v>1.3868055555555556</v>
      </c>
    </row>
    <row r="135" spans="1:6" x14ac:dyDescent="0.25">
      <c r="A135">
        <v>2012</v>
      </c>
      <c r="B135" t="s">
        <v>67</v>
      </c>
      <c r="C135" t="s">
        <v>59</v>
      </c>
      <c r="D135">
        <v>134958</v>
      </c>
      <c r="E135">
        <v>94183</v>
      </c>
      <c r="F135" s="13">
        <v>1.4329337566227451</v>
      </c>
    </row>
    <row r="136" spans="1:6" x14ac:dyDescent="0.25">
      <c r="A136">
        <v>2015</v>
      </c>
      <c r="B136" t="s">
        <v>63</v>
      </c>
      <c r="C136" t="s">
        <v>59</v>
      </c>
      <c r="D136">
        <v>199075</v>
      </c>
      <c r="E136">
        <v>127101</v>
      </c>
      <c r="F136" s="13">
        <v>1.5662740655069591</v>
      </c>
    </row>
    <row r="137" spans="1:6" x14ac:dyDescent="0.25">
      <c r="A137">
        <v>2010</v>
      </c>
      <c r="B137" t="s">
        <v>61</v>
      </c>
      <c r="C137" t="s">
        <v>59</v>
      </c>
      <c r="D137">
        <v>2382</v>
      </c>
      <c r="E137">
        <v>1500</v>
      </c>
      <c r="F137" s="13">
        <v>1.5880000000000001</v>
      </c>
    </row>
    <row r="138" spans="1:6" x14ac:dyDescent="0.25">
      <c r="A138">
        <v>2014</v>
      </c>
      <c r="B138" t="s">
        <v>61</v>
      </c>
      <c r="C138" t="s">
        <v>59</v>
      </c>
      <c r="D138">
        <v>23543</v>
      </c>
      <c r="E138">
        <v>14784</v>
      </c>
      <c r="F138" s="13">
        <v>1.5924648268398269</v>
      </c>
    </row>
    <row r="139" spans="1:6" x14ac:dyDescent="0.25">
      <c r="A139">
        <v>2013</v>
      </c>
      <c r="B139" t="s">
        <v>67</v>
      </c>
      <c r="C139" t="s">
        <v>59</v>
      </c>
      <c r="D139">
        <v>226641</v>
      </c>
      <c r="E139">
        <v>140512</v>
      </c>
      <c r="F139" s="13">
        <v>1.6129654406741061</v>
      </c>
    </row>
    <row r="140" spans="1:6" x14ac:dyDescent="0.25">
      <c r="A140">
        <v>2016</v>
      </c>
      <c r="B140" t="s">
        <v>63</v>
      </c>
      <c r="C140" t="s">
        <v>59</v>
      </c>
      <c r="D140">
        <v>117288</v>
      </c>
      <c r="E140">
        <v>68822</v>
      </c>
      <c r="F140" s="13">
        <v>1.7042224869954374</v>
      </c>
    </row>
    <row r="141" spans="1:6" x14ac:dyDescent="0.25">
      <c r="A141">
        <v>2016</v>
      </c>
      <c r="B141" t="s">
        <v>67</v>
      </c>
      <c r="C141" t="s">
        <v>59</v>
      </c>
      <c r="D141">
        <v>314222</v>
      </c>
      <c r="E141">
        <v>177816</v>
      </c>
      <c r="F141" s="13">
        <v>1.7671188194538174</v>
      </c>
    </row>
    <row r="142" spans="1:6" x14ac:dyDescent="0.25">
      <c r="A142">
        <v>2011</v>
      </c>
      <c r="B142" t="s">
        <v>67</v>
      </c>
      <c r="C142" t="s">
        <v>59</v>
      </c>
      <c r="D142">
        <v>87252</v>
      </c>
      <c r="E142">
        <v>49009</v>
      </c>
      <c r="F142" s="13">
        <v>1.780326062559938</v>
      </c>
    </row>
    <row r="143" spans="1:6" x14ac:dyDescent="0.25">
      <c r="A143">
        <v>2012</v>
      </c>
      <c r="B143" t="s">
        <v>69</v>
      </c>
      <c r="C143" t="s">
        <v>70</v>
      </c>
      <c r="D143">
        <v>675989</v>
      </c>
      <c r="E143">
        <v>365434</v>
      </c>
      <c r="F143" s="13">
        <v>1.8498251394232612</v>
      </c>
    </row>
    <row r="144" spans="1:6" x14ac:dyDescent="0.25">
      <c r="A144">
        <v>2017</v>
      </c>
      <c r="B144" t="s">
        <v>63</v>
      </c>
      <c r="C144" t="s">
        <v>59</v>
      </c>
      <c r="D144">
        <v>33659</v>
      </c>
      <c r="E144">
        <v>17224</v>
      </c>
      <c r="F144" s="13">
        <v>1.9541918253599628</v>
      </c>
    </row>
    <row r="145" spans="1:6" x14ac:dyDescent="0.25">
      <c r="A145">
        <v>2011</v>
      </c>
      <c r="B145" t="s">
        <v>69</v>
      </c>
      <c r="C145" t="s">
        <v>70</v>
      </c>
      <c r="D145">
        <v>938488</v>
      </c>
      <c r="E145">
        <v>477898</v>
      </c>
      <c r="F145" s="13">
        <v>1.9637830666795006</v>
      </c>
    </row>
    <row r="146" spans="1:6" x14ac:dyDescent="0.25">
      <c r="A146">
        <v>2017</v>
      </c>
      <c r="B146" t="s">
        <v>67</v>
      </c>
      <c r="C146" t="s">
        <v>59</v>
      </c>
      <c r="D146">
        <v>170740</v>
      </c>
      <c r="E146">
        <v>86006</v>
      </c>
      <c r="F146" s="13">
        <v>1.9852103341627327</v>
      </c>
    </row>
    <row r="147" spans="1:6" x14ac:dyDescent="0.25">
      <c r="A147">
        <v>2013</v>
      </c>
      <c r="B147" t="s">
        <v>69</v>
      </c>
      <c r="C147" t="s">
        <v>70</v>
      </c>
      <c r="D147">
        <v>812046</v>
      </c>
      <c r="E147">
        <v>394273</v>
      </c>
      <c r="F147" s="13">
        <v>2.0596033712681314</v>
      </c>
    </row>
    <row r="148" spans="1:6" x14ac:dyDescent="0.25">
      <c r="A148">
        <v>2010</v>
      </c>
      <c r="B148" t="s">
        <v>69</v>
      </c>
      <c r="C148" t="s">
        <v>70</v>
      </c>
      <c r="D148">
        <v>727018</v>
      </c>
      <c r="E148">
        <v>349916</v>
      </c>
      <c r="F148" s="13">
        <v>2.0776929320179702</v>
      </c>
    </row>
    <row r="149" spans="1:6" x14ac:dyDescent="0.25">
      <c r="A149">
        <v>2016</v>
      </c>
      <c r="B149" t="s">
        <v>69</v>
      </c>
      <c r="C149" t="s">
        <v>70</v>
      </c>
      <c r="D149">
        <v>830069</v>
      </c>
      <c r="E149">
        <v>350495</v>
      </c>
      <c r="F149" s="13">
        <v>2.368276294954279</v>
      </c>
    </row>
    <row r="150" spans="1:6" x14ac:dyDescent="0.25">
      <c r="A150">
        <v>2015</v>
      </c>
      <c r="B150" t="s">
        <v>69</v>
      </c>
      <c r="C150" t="s">
        <v>70</v>
      </c>
      <c r="D150">
        <v>886423</v>
      </c>
      <c r="E150">
        <v>364177</v>
      </c>
      <c r="F150" s="13">
        <v>2.4340444344371006</v>
      </c>
    </row>
    <row r="151" spans="1:6" x14ac:dyDescent="0.25">
      <c r="A151">
        <v>2014</v>
      </c>
      <c r="B151" t="s">
        <v>69</v>
      </c>
      <c r="C151" t="s">
        <v>70</v>
      </c>
      <c r="D151">
        <v>1048503</v>
      </c>
      <c r="E151">
        <v>429626</v>
      </c>
      <c r="F151" s="13">
        <v>2.4405017387215859</v>
      </c>
    </row>
    <row r="152" spans="1:6" x14ac:dyDescent="0.25">
      <c r="A152">
        <v>2017</v>
      </c>
      <c r="B152" t="s">
        <v>69</v>
      </c>
      <c r="C152" t="s">
        <v>70</v>
      </c>
      <c r="D152">
        <v>1099253</v>
      </c>
      <c r="E152">
        <v>436622</v>
      </c>
      <c r="F152" s="13">
        <v>2.5176308110906001</v>
      </c>
    </row>
    <row r="153" spans="1:6" x14ac:dyDescent="0.25">
      <c r="A153">
        <v>2010</v>
      </c>
      <c r="B153" t="s">
        <v>68</v>
      </c>
      <c r="C153" t="s">
        <v>59</v>
      </c>
      <c r="D153">
        <v>259392</v>
      </c>
      <c r="E153">
        <v>90416</v>
      </c>
      <c r="F153" s="13">
        <v>2.8688727658821449</v>
      </c>
    </row>
    <row r="154" spans="1:6" x14ac:dyDescent="0.25">
      <c r="A154">
        <v>2017</v>
      </c>
      <c r="B154" t="s">
        <v>68</v>
      </c>
      <c r="C154" t="s">
        <v>59</v>
      </c>
      <c r="D154">
        <v>1634940</v>
      </c>
      <c r="E154">
        <v>566946</v>
      </c>
      <c r="F154" s="13">
        <v>2.8837667079404388</v>
      </c>
    </row>
    <row r="155" spans="1:6" x14ac:dyDescent="0.25">
      <c r="A155">
        <v>2012</v>
      </c>
      <c r="B155" t="s">
        <v>69</v>
      </c>
      <c r="C155" t="s">
        <v>59</v>
      </c>
      <c r="D155">
        <v>223646</v>
      </c>
      <c r="E155">
        <v>58141</v>
      </c>
      <c r="F155" s="13">
        <v>3.8466142653205138</v>
      </c>
    </row>
    <row r="156" spans="1:6" x14ac:dyDescent="0.25">
      <c r="A156">
        <v>2014</v>
      </c>
      <c r="B156" t="s">
        <v>68</v>
      </c>
      <c r="C156" t="s">
        <v>59</v>
      </c>
      <c r="D156">
        <v>481335</v>
      </c>
      <c r="E156">
        <v>117332</v>
      </c>
      <c r="F156" s="13">
        <v>4.1023335492448778</v>
      </c>
    </row>
    <row r="157" spans="1:6" x14ac:dyDescent="0.25">
      <c r="A157">
        <v>2017</v>
      </c>
      <c r="B157" t="s">
        <v>68</v>
      </c>
      <c r="C157" t="s">
        <v>70</v>
      </c>
      <c r="D157">
        <v>53697</v>
      </c>
      <c r="E157">
        <v>12776</v>
      </c>
      <c r="F157" s="13">
        <v>4.2029586725109578</v>
      </c>
    </row>
    <row r="158" spans="1:6" x14ac:dyDescent="0.25">
      <c r="A158">
        <v>2010</v>
      </c>
      <c r="B158" t="s">
        <v>69</v>
      </c>
      <c r="C158" t="s">
        <v>59</v>
      </c>
      <c r="D158">
        <v>201808</v>
      </c>
      <c r="E158">
        <v>47900</v>
      </c>
      <c r="F158" s="13">
        <v>4.2131106471816286</v>
      </c>
    </row>
    <row r="159" spans="1:6" x14ac:dyDescent="0.25">
      <c r="A159">
        <v>2010</v>
      </c>
      <c r="B159" t="s">
        <v>67</v>
      </c>
      <c r="C159" t="s">
        <v>59</v>
      </c>
      <c r="D159">
        <v>19114</v>
      </c>
      <c r="E159">
        <v>4474</v>
      </c>
      <c r="F159" s="13">
        <v>4.2722396066160035</v>
      </c>
    </row>
    <row r="160" spans="1:6" x14ac:dyDescent="0.25">
      <c r="A160">
        <v>2013</v>
      </c>
      <c r="B160" t="s">
        <v>68</v>
      </c>
      <c r="C160" t="s">
        <v>59</v>
      </c>
      <c r="D160">
        <v>1350880</v>
      </c>
      <c r="E160">
        <v>315410</v>
      </c>
      <c r="F160" s="13">
        <v>4.2829333248787291</v>
      </c>
    </row>
    <row r="161" spans="1:6" x14ac:dyDescent="0.25">
      <c r="A161">
        <v>2013</v>
      </c>
      <c r="B161" t="s">
        <v>69</v>
      </c>
      <c r="C161" t="s">
        <v>59</v>
      </c>
      <c r="D161">
        <v>190902</v>
      </c>
      <c r="E161">
        <v>44356</v>
      </c>
      <c r="F161" s="13">
        <v>4.303859680764722</v>
      </c>
    </row>
    <row r="162" spans="1:6" x14ac:dyDescent="0.25">
      <c r="A162">
        <v>2011</v>
      </c>
      <c r="B162" t="s">
        <v>68</v>
      </c>
      <c r="C162" t="s">
        <v>59</v>
      </c>
      <c r="D162">
        <v>654100</v>
      </c>
      <c r="E162">
        <v>151845</v>
      </c>
      <c r="F162" s="13">
        <v>4.307682175903059</v>
      </c>
    </row>
    <row r="163" spans="1:6" x14ac:dyDescent="0.25">
      <c r="A163">
        <v>2016</v>
      </c>
      <c r="B163" t="s">
        <v>68</v>
      </c>
      <c r="C163" t="s">
        <v>59</v>
      </c>
      <c r="D163">
        <v>784093</v>
      </c>
      <c r="E163">
        <v>180132</v>
      </c>
      <c r="F163" s="13">
        <v>4.3528801101414523</v>
      </c>
    </row>
    <row r="164" spans="1:6" x14ac:dyDescent="0.25">
      <c r="A164">
        <v>2015</v>
      </c>
      <c r="B164" t="s">
        <v>68</v>
      </c>
      <c r="C164" t="s">
        <v>59</v>
      </c>
      <c r="D164">
        <v>659560</v>
      </c>
      <c r="E164">
        <v>150587</v>
      </c>
      <c r="F164" s="13">
        <v>4.3799265540850136</v>
      </c>
    </row>
    <row r="165" spans="1:6" x14ac:dyDescent="0.25">
      <c r="A165">
        <v>2012</v>
      </c>
      <c r="B165" t="s">
        <v>68</v>
      </c>
      <c r="C165" t="s">
        <v>59</v>
      </c>
      <c r="D165">
        <v>740466</v>
      </c>
      <c r="E165">
        <v>168121</v>
      </c>
      <c r="F165" s="13">
        <v>4.404363523890531</v>
      </c>
    </row>
    <row r="166" spans="1:6" x14ac:dyDescent="0.25">
      <c r="A166">
        <v>2011</v>
      </c>
      <c r="B166" t="s">
        <v>69</v>
      </c>
      <c r="C166" t="s">
        <v>59</v>
      </c>
      <c r="D166">
        <v>301823</v>
      </c>
      <c r="E166">
        <v>67477</v>
      </c>
      <c r="F166" s="13">
        <v>4.4729759769995701</v>
      </c>
    </row>
    <row r="167" spans="1:6" x14ac:dyDescent="0.25">
      <c r="A167">
        <v>2014</v>
      </c>
      <c r="B167" t="s">
        <v>69</v>
      </c>
      <c r="C167" t="s">
        <v>59</v>
      </c>
      <c r="D167">
        <v>225805</v>
      </c>
      <c r="E167">
        <v>46517</v>
      </c>
      <c r="F167" s="13">
        <v>4.854246834490616</v>
      </c>
    </row>
    <row r="168" spans="1:6" x14ac:dyDescent="0.25">
      <c r="A168">
        <v>2016</v>
      </c>
      <c r="B168" t="s">
        <v>68</v>
      </c>
      <c r="C168" t="s">
        <v>70</v>
      </c>
      <c r="D168">
        <v>22201</v>
      </c>
      <c r="E168">
        <v>4515</v>
      </c>
      <c r="F168" s="13">
        <v>4.9171650055370986</v>
      </c>
    </row>
    <row r="169" spans="1:6" x14ac:dyDescent="0.25">
      <c r="A169">
        <v>2017</v>
      </c>
      <c r="B169" t="s">
        <v>69</v>
      </c>
      <c r="C169" t="s">
        <v>59</v>
      </c>
      <c r="D169">
        <v>42512</v>
      </c>
      <c r="E169">
        <v>8040</v>
      </c>
      <c r="F169" s="13">
        <v>5.287562189054726</v>
      </c>
    </row>
    <row r="170" spans="1:6" x14ac:dyDescent="0.25">
      <c r="A170">
        <v>2015</v>
      </c>
      <c r="B170" t="s">
        <v>69</v>
      </c>
      <c r="C170" t="s">
        <v>59</v>
      </c>
      <c r="D170">
        <v>119994</v>
      </c>
      <c r="E170">
        <v>22097</v>
      </c>
      <c r="F170" s="13">
        <v>5.4303299090374262</v>
      </c>
    </row>
    <row r="171" spans="1:6" x14ac:dyDescent="0.25">
      <c r="A171">
        <v>2016</v>
      </c>
      <c r="B171" t="s">
        <v>69</v>
      </c>
      <c r="C171" t="s">
        <v>59</v>
      </c>
      <c r="D171">
        <v>76617</v>
      </c>
      <c r="E171">
        <v>13449</v>
      </c>
      <c r="F171" s="13">
        <v>5.6968547847423601</v>
      </c>
    </row>
    <row r="172" spans="1:6" x14ac:dyDescent="0.25">
      <c r="A172">
        <v>2015</v>
      </c>
      <c r="B172" t="s">
        <v>68</v>
      </c>
      <c r="C172" t="s">
        <v>70</v>
      </c>
      <c r="D172">
        <v>13642</v>
      </c>
      <c r="E172">
        <v>2242</v>
      </c>
      <c r="F172" s="13">
        <v>6.0847457627118642</v>
      </c>
    </row>
    <row r="173" spans="1:6" x14ac:dyDescent="0.25">
      <c r="A173">
        <v>2013</v>
      </c>
      <c r="B173" t="s">
        <v>68</v>
      </c>
      <c r="C173" t="s">
        <v>70</v>
      </c>
      <c r="D173">
        <v>17573</v>
      </c>
      <c r="E173">
        <v>2355</v>
      </c>
      <c r="F173" s="13">
        <v>7.4619957537154988</v>
      </c>
    </row>
    <row r="174" spans="1:6" x14ac:dyDescent="0.25">
      <c r="A174">
        <v>2011</v>
      </c>
      <c r="B174" t="s">
        <v>68</v>
      </c>
      <c r="C174" t="s">
        <v>70</v>
      </c>
      <c r="D174">
        <v>16291</v>
      </c>
      <c r="E174">
        <v>1920</v>
      </c>
      <c r="F174" s="13">
        <v>8.4848958333333329</v>
      </c>
    </row>
    <row r="175" spans="1:6" x14ac:dyDescent="0.25">
      <c r="A175">
        <v>2012</v>
      </c>
      <c r="B175" t="s">
        <v>68</v>
      </c>
      <c r="C175" t="s">
        <v>70</v>
      </c>
      <c r="D175">
        <v>8691</v>
      </c>
      <c r="E175">
        <v>990</v>
      </c>
      <c r="F175" s="13">
        <v>8.7787878787878793</v>
      </c>
    </row>
    <row r="176" spans="1:6" x14ac:dyDescent="0.25">
      <c r="A176">
        <v>2010</v>
      </c>
      <c r="B176" t="s">
        <v>68</v>
      </c>
      <c r="C176" t="s">
        <v>70</v>
      </c>
      <c r="D176">
        <v>2577</v>
      </c>
      <c r="E176">
        <v>261</v>
      </c>
      <c r="F176" s="13">
        <v>9.8735632183908049</v>
      </c>
    </row>
    <row r="177" spans="1:6" x14ac:dyDescent="0.25">
      <c r="A177">
        <v>2014</v>
      </c>
      <c r="B177" t="s">
        <v>68</v>
      </c>
      <c r="C177" t="s">
        <v>70</v>
      </c>
      <c r="D177">
        <v>6515</v>
      </c>
      <c r="E177">
        <v>345</v>
      </c>
      <c r="F177" s="13">
        <v>18.884057971014492</v>
      </c>
    </row>
  </sheetData>
  <sortState xmlns:xlrd2="http://schemas.microsoft.com/office/spreadsheetml/2017/richdata2" ref="A2:F187">
    <sortCondition ref="F2:F18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513-2C83-4667-B028-2D633F8B0D29}">
  <dimension ref="B1:O36"/>
  <sheetViews>
    <sheetView workbookViewId="0">
      <selection activeCell="C28" sqref="C28"/>
    </sheetView>
  </sheetViews>
  <sheetFormatPr defaultRowHeight="15" x14ac:dyDescent="0.25"/>
  <cols>
    <col min="2" max="2" width="18" bestFit="1" customWidth="1"/>
    <col min="3" max="3" width="16.42578125" bestFit="1" customWidth="1"/>
    <col min="4" max="6" width="13.85546875" bestFit="1" customWidth="1"/>
    <col min="7" max="8" width="12.7109375" bestFit="1" customWidth="1"/>
    <col min="9" max="9" width="13.85546875" bestFit="1" customWidth="1"/>
    <col min="10" max="11" width="12.7109375" bestFit="1" customWidth="1"/>
    <col min="12" max="12" width="12.5703125" bestFit="1" customWidth="1"/>
    <col min="13" max="13" width="12.7109375" bestFit="1" customWidth="1"/>
    <col min="14" max="14" width="7.28515625" bestFit="1" customWidth="1"/>
    <col min="15" max="15" width="14.85546875" bestFit="1" customWidth="1"/>
    <col min="16" max="18" width="9" bestFit="1" customWidth="1"/>
    <col min="19" max="20" width="8" bestFit="1" customWidth="1"/>
    <col min="21" max="21" width="9" bestFit="1" customWidth="1"/>
    <col min="22" max="23" width="8" bestFit="1" customWidth="1"/>
    <col min="24" max="24" width="12.42578125" bestFit="1" customWidth="1"/>
    <col min="25" max="25" width="8" bestFit="1" customWidth="1"/>
    <col min="26" max="26" width="10.28515625" bestFit="1" customWidth="1"/>
    <col min="28" max="28" width="12.140625" bestFit="1" customWidth="1"/>
    <col min="29" max="29" width="11.28515625" bestFit="1" customWidth="1"/>
  </cols>
  <sheetData>
    <row r="1" spans="2:15" x14ac:dyDescent="0.25">
      <c r="B1" t="s">
        <v>92</v>
      </c>
      <c r="C1" t="s">
        <v>87</v>
      </c>
    </row>
    <row r="2" spans="2:15" x14ac:dyDescent="0.25">
      <c r="B2" t="s">
        <v>90</v>
      </c>
      <c r="C2" t="s">
        <v>58</v>
      </c>
      <c r="D2" t="s">
        <v>66</v>
      </c>
      <c r="E2" t="s">
        <v>65</v>
      </c>
      <c r="F2" t="s">
        <v>60</v>
      </c>
      <c r="G2" t="s">
        <v>67</v>
      </c>
      <c r="H2" t="s">
        <v>61</v>
      </c>
      <c r="I2" t="s">
        <v>64</v>
      </c>
      <c r="J2" t="s">
        <v>62</v>
      </c>
      <c r="K2" t="s">
        <v>69</v>
      </c>
      <c r="L2" t="s">
        <v>68</v>
      </c>
      <c r="M2" t="s">
        <v>63</v>
      </c>
      <c r="N2" t="s">
        <v>88</v>
      </c>
      <c r="O2" t="s">
        <v>89</v>
      </c>
    </row>
    <row r="3" spans="2:15" x14ac:dyDescent="0.25">
      <c r="B3" t="s">
        <v>59</v>
      </c>
      <c r="C3">
        <v>688525</v>
      </c>
      <c r="D3">
        <v>5438528</v>
      </c>
      <c r="E3">
        <v>5961166</v>
      </c>
      <c r="F3">
        <v>44159147</v>
      </c>
      <c r="G3">
        <v>1055226</v>
      </c>
      <c r="H3">
        <v>138014</v>
      </c>
      <c r="I3">
        <v>36127736</v>
      </c>
      <c r="J3">
        <v>36020194</v>
      </c>
      <c r="K3">
        <v>1383107</v>
      </c>
      <c r="L3">
        <v>6564766</v>
      </c>
      <c r="M3">
        <v>1347187</v>
      </c>
      <c r="O3">
        <v>138883596</v>
      </c>
    </row>
    <row r="4" spans="2:15" x14ac:dyDescent="0.25">
      <c r="B4">
        <v>2010</v>
      </c>
      <c r="C4">
        <v>155046</v>
      </c>
      <c r="D4">
        <v>686364</v>
      </c>
      <c r="E4">
        <v>1173163</v>
      </c>
      <c r="F4">
        <v>2921905</v>
      </c>
      <c r="G4">
        <v>19114</v>
      </c>
      <c r="H4">
        <v>2382</v>
      </c>
      <c r="I4">
        <v>1176877</v>
      </c>
      <c r="J4">
        <v>4091900</v>
      </c>
      <c r="K4">
        <v>201808</v>
      </c>
      <c r="L4">
        <v>259392</v>
      </c>
      <c r="M4">
        <v>22956</v>
      </c>
      <c r="O4">
        <v>10710907</v>
      </c>
    </row>
    <row r="5" spans="2:15" x14ac:dyDescent="0.25">
      <c r="B5">
        <v>2011</v>
      </c>
      <c r="C5">
        <v>73484</v>
      </c>
      <c r="D5">
        <v>697236</v>
      </c>
      <c r="E5">
        <v>778257</v>
      </c>
      <c r="F5">
        <v>4760667</v>
      </c>
      <c r="G5">
        <v>87252</v>
      </c>
      <c r="H5">
        <v>73022</v>
      </c>
      <c r="I5">
        <v>1986116</v>
      </c>
      <c r="J5">
        <v>4075009</v>
      </c>
      <c r="K5">
        <v>301823</v>
      </c>
      <c r="L5">
        <v>654100</v>
      </c>
      <c r="M5">
        <v>171159</v>
      </c>
      <c r="O5">
        <v>13658125</v>
      </c>
    </row>
    <row r="6" spans="2:15" x14ac:dyDescent="0.25">
      <c r="B6">
        <v>2012</v>
      </c>
      <c r="C6">
        <v>135629</v>
      </c>
      <c r="D6">
        <v>580647</v>
      </c>
      <c r="E6">
        <v>697603</v>
      </c>
      <c r="F6">
        <v>1874931</v>
      </c>
      <c r="G6">
        <v>134958</v>
      </c>
      <c r="H6">
        <v>31623</v>
      </c>
      <c r="I6">
        <v>648948</v>
      </c>
      <c r="J6">
        <v>4154735</v>
      </c>
      <c r="K6">
        <v>223646</v>
      </c>
      <c r="L6">
        <v>740466</v>
      </c>
      <c r="M6">
        <v>348371</v>
      </c>
      <c r="O6">
        <v>9571557</v>
      </c>
    </row>
    <row r="7" spans="2:15" x14ac:dyDescent="0.25">
      <c r="B7">
        <v>2013</v>
      </c>
      <c r="C7">
        <v>33350</v>
      </c>
      <c r="D7">
        <v>186756</v>
      </c>
      <c r="E7">
        <v>497142</v>
      </c>
      <c r="F7">
        <v>2465572</v>
      </c>
      <c r="G7">
        <v>226641</v>
      </c>
      <c r="H7">
        <v>4348</v>
      </c>
      <c r="I7">
        <v>1171058</v>
      </c>
      <c r="J7">
        <v>6637421</v>
      </c>
      <c r="K7">
        <v>190902</v>
      </c>
      <c r="L7">
        <v>1350880</v>
      </c>
      <c r="M7">
        <v>218129</v>
      </c>
      <c r="O7">
        <v>12982199</v>
      </c>
    </row>
    <row r="8" spans="2:15" x14ac:dyDescent="0.25">
      <c r="B8">
        <v>2014</v>
      </c>
      <c r="C8">
        <v>9256</v>
      </c>
      <c r="D8">
        <v>583030</v>
      </c>
      <c r="E8">
        <v>524580</v>
      </c>
      <c r="F8">
        <v>3912431</v>
      </c>
      <c r="G8">
        <v>42238</v>
      </c>
      <c r="H8">
        <v>23543</v>
      </c>
      <c r="I8">
        <v>2890214</v>
      </c>
      <c r="J8">
        <v>2321609</v>
      </c>
      <c r="K8">
        <v>225805</v>
      </c>
      <c r="L8">
        <v>481335</v>
      </c>
      <c r="M8">
        <v>236550</v>
      </c>
      <c r="O8">
        <v>11250591</v>
      </c>
    </row>
    <row r="9" spans="2:15" x14ac:dyDescent="0.25">
      <c r="B9">
        <v>2015</v>
      </c>
      <c r="C9">
        <v>110572</v>
      </c>
      <c r="D9">
        <v>486675</v>
      </c>
      <c r="E9">
        <v>873771</v>
      </c>
      <c r="F9">
        <v>8264225</v>
      </c>
      <c r="G9">
        <v>60061</v>
      </c>
      <c r="H9">
        <v>144</v>
      </c>
      <c r="I9">
        <v>6143048</v>
      </c>
      <c r="J9">
        <v>3254747</v>
      </c>
      <c r="K9">
        <v>119994</v>
      </c>
      <c r="L9">
        <v>659560</v>
      </c>
      <c r="M9">
        <v>199075</v>
      </c>
      <c r="O9">
        <v>20171872</v>
      </c>
    </row>
    <row r="10" spans="2:15" x14ac:dyDescent="0.25">
      <c r="B10">
        <v>2016</v>
      </c>
      <c r="C10">
        <v>146837</v>
      </c>
      <c r="D10">
        <v>1246515</v>
      </c>
      <c r="E10">
        <v>492590</v>
      </c>
      <c r="F10">
        <v>8074198</v>
      </c>
      <c r="G10">
        <v>314222</v>
      </c>
      <c r="H10">
        <v>955</v>
      </c>
      <c r="I10">
        <v>8274331</v>
      </c>
      <c r="J10">
        <v>4314336</v>
      </c>
      <c r="K10">
        <v>76617</v>
      </c>
      <c r="L10">
        <v>784093</v>
      </c>
      <c r="M10">
        <v>117288</v>
      </c>
      <c r="O10">
        <v>23841982</v>
      </c>
    </row>
    <row r="11" spans="2:15" x14ac:dyDescent="0.25">
      <c r="B11">
        <v>2017</v>
      </c>
      <c r="C11">
        <v>24351</v>
      </c>
      <c r="D11">
        <v>971305</v>
      </c>
      <c r="E11">
        <v>924060</v>
      </c>
      <c r="F11">
        <v>11885218</v>
      </c>
      <c r="G11">
        <v>170740</v>
      </c>
      <c r="H11">
        <v>1997</v>
      </c>
      <c r="I11">
        <v>13837144</v>
      </c>
      <c r="J11">
        <v>7170437</v>
      </c>
      <c r="K11">
        <v>42512</v>
      </c>
      <c r="L11">
        <v>1634940</v>
      </c>
      <c r="M11">
        <v>33659</v>
      </c>
      <c r="O11">
        <v>36696363</v>
      </c>
    </row>
    <row r="12" spans="2:15" x14ac:dyDescent="0.25">
      <c r="B12" t="s">
        <v>70</v>
      </c>
      <c r="C12" s="14">
        <v>27982507</v>
      </c>
      <c r="D12" s="14">
        <v>18678593</v>
      </c>
      <c r="E12" s="14">
        <v>29263421</v>
      </c>
      <c r="F12" s="14">
        <v>65606037</v>
      </c>
      <c r="G12" s="14">
        <v>2174051</v>
      </c>
      <c r="H12" s="14">
        <v>3254847</v>
      </c>
      <c r="I12" s="14">
        <v>28574758</v>
      </c>
      <c r="J12" s="14">
        <v>5559326</v>
      </c>
      <c r="K12" s="14">
        <v>7017789</v>
      </c>
      <c r="L12" s="14">
        <v>141187</v>
      </c>
      <c r="M12" s="14">
        <v>2889274</v>
      </c>
      <c r="N12" s="14"/>
      <c r="O12" s="14">
        <v>191141790</v>
      </c>
    </row>
    <row r="14" spans="2:15" x14ac:dyDescent="0.25">
      <c r="B14">
        <v>2010</v>
      </c>
      <c r="C14">
        <v>3475487</v>
      </c>
      <c r="D14">
        <v>1595478</v>
      </c>
      <c r="E14">
        <v>3350618</v>
      </c>
      <c r="F14">
        <v>5176412</v>
      </c>
      <c r="G14">
        <v>204676</v>
      </c>
      <c r="H14">
        <v>302572</v>
      </c>
      <c r="I14">
        <v>1125580</v>
      </c>
      <c r="J14">
        <v>651716</v>
      </c>
      <c r="K14">
        <v>727018</v>
      </c>
      <c r="L14">
        <v>2577</v>
      </c>
      <c r="M14">
        <v>233246</v>
      </c>
      <c r="O14">
        <v>16845380</v>
      </c>
    </row>
    <row r="15" spans="2:15" x14ac:dyDescent="0.25">
      <c r="B15">
        <v>2011</v>
      </c>
      <c r="C15">
        <v>3134493</v>
      </c>
      <c r="D15">
        <v>1981724</v>
      </c>
      <c r="E15">
        <v>4035298</v>
      </c>
      <c r="F15">
        <v>6531005</v>
      </c>
      <c r="G15">
        <v>155560</v>
      </c>
      <c r="H15">
        <v>267518</v>
      </c>
      <c r="I15">
        <v>1386413</v>
      </c>
      <c r="J15">
        <v>517734</v>
      </c>
      <c r="K15">
        <v>938488</v>
      </c>
      <c r="L15">
        <v>16291</v>
      </c>
      <c r="M15">
        <v>447658</v>
      </c>
      <c r="O15">
        <v>19412182</v>
      </c>
    </row>
    <row r="16" spans="2:15" x14ac:dyDescent="0.25">
      <c r="B16">
        <v>2012</v>
      </c>
      <c r="C16">
        <v>3259894</v>
      </c>
      <c r="D16">
        <v>2372469</v>
      </c>
      <c r="E16">
        <v>4000308</v>
      </c>
      <c r="F16">
        <v>9188427</v>
      </c>
      <c r="G16">
        <v>251699</v>
      </c>
      <c r="H16">
        <v>278945</v>
      </c>
      <c r="I16">
        <v>1628625</v>
      </c>
      <c r="J16">
        <v>804590</v>
      </c>
      <c r="K16">
        <v>675989</v>
      </c>
      <c r="L16">
        <v>8691</v>
      </c>
      <c r="M16">
        <v>131161</v>
      </c>
      <c r="O16">
        <v>22600798</v>
      </c>
    </row>
    <row r="17" spans="2:15" x14ac:dyDescent="0.25">
      <c r="B17">
        <v>2013</v>
      </c>
      <c r="C17">
        <v>3367907</v>
      </c>
      <c r="D17">
        <v>2022240</v>
      </c>
      <c r="E17">
        <v>3532734</v>
      </c>
      <c r="F17">
        <v>7891666</v>
      </c>
      <c r="G17">
        <v>318717</v>
      </c>
      <c r="H17">
        <v>388211</v>
      </c>
      <c r="I17">
        <v>1264525</v>
      </c>
      <c r="J17">
        <v>390229</v>
      </c>
      <c r="K17">
        <v>812046</v>
      </c>
      <c r="L17">
        <v>17573</v>
      </c>
      <c r="M17">
        <v>61343</v>
      </c>
      <c r="O17">
        <v>20067191</v>
      </c>
    </row>
    <row r="18" spans="2:15" x14ac:dyDescent="0.25">
      <c r="B18">
        <v>2014</v>
      </c>
      <c r="C18">
        <v>4312156</v>
      </c>
      <c r="D18">
        <v>2694866</v>
      </c>
      <c r="E18">
        <v>3926989</v>
      </c>
      <c r="F18">
        <v>7492248</v>
      </c>
      <c r="G18">
        <v>304113</v>
      </c>
      <c r="H18">
        <v>488205</v>
      </c>
      <c r="I18">
        <v>2862879</v>
      </c>
      <c r="J18">
        <v>320472</v>
      </c>
      <c r="K18">
        <v>1048503</v>
      </c>
      <c r="L18">
        <v>6515</v>
      </c>
      <c r="M18">
        <v>194125</v>
      </c>
      <c r="O18">
        <v>23651071</v>
      </c>
    </row>
    <row r="19" spans="2:15" x14ac:dyDescent="0.25">
      <c r="B19">
        <v>2015</v>
      </c>
      <c r="C19">
        <v>3389994</v>
      </c>
      <c r="D19">
        <v>1902943</v>
      </c>
      <c r="E19">
        <v>3133948</v>
      </c>
      <c r="F19">
        <v>9374226</v>
      </c>
      <c r="G19">
        <v>277337</v>
      </c>
      <c r="H19">
        <v>380220</v>
      </c>
      <c r="I19">
        <v>4768098</v>
      </c>
      <c r="J19">
        <v>442291</v>
      </c>
      <c r="K19">
        <v>886423</v>
      </c>
      <c r="L19">
        <v>13642</v>
      </c>
      <c r="M19">
        <v>269172</v>
      </c>
      <c r="O19">
        <v>24838294</v>
      </c>
    </row>
    <row r="20" spans="2:15" x14ac:dyDescent="0.25">
      <c r="B20">
        <v>2016</v>
      </c>
      <c r="C20">
        <v>3860061</v>
      </c>
      <c r="D20">
        <v>2897132</v>
      </c>
      <c r="E20">
        <v>3414387</v>
      </c>
      <c r="F20">
        <v>8313150</v>
      </c>
      <c r="G20">
        <v>351160</v>
      </c>
      <c r="H20">
        <v>396295</v>
      </c>
      <c r="I20">
        <v>5570741</v>
      </c>
      <c r="J20">
        <v>734622</v>
      </c>
      <c r="K20">
        <v>830069</v>
      </c>
      <c r="L20">
        <v>22201</v>
      </c>
      <c r="M20">
        <v>302641</v>
      </c>
      <c r="O20">
        <v>26692459</v>
      </c>
    </row>
    <row r="21" spans="2:15" x14ac:dyDescent="0.25">
      <c r="B21">
        <v>2017</v>
      </c>
      <c r="C21">
        <v>3182515</v>
      </c>
      <c r="D21">
        <v>3211741</v>
      </c>
      <c r="E21">
        <v>3869139</v>
      </c>
      <c r="F21">
        <v>11638903</v>
      </c>
      <c r="G21">
        <v>310789</v>
      </c>
      <c r="H21">
        <v>752881</v>
      </c>
      <c r="I21">
        <v>9967897</v>
      </c>
      <c r="J21">
        <v>1697672</v>
      </c>
      <c r="K21">
        <v>1099253</v>
      </c>
      <c r="L21">
        <v>53697</v>
      </c>
      <c r="M21">
        <v>1249928</v>
      </c>
      <c r="O21">
        <v>37034415</v>
      </c>
    </row>
    <row r="22" spans="2:15" x14ac:dyDescent="0.25">
      <c r="B22" t="s">
        <v>88</v>
      </c>
    </row>
    <row r="23" spans="2:15" x14ac:dyDescent="0.25">
      <c r="B23" t="s">
        <v>88</v>
      </c>
    </row>
    <row r="24" spans="2:15" x14ac:dyDescent="0.25">
      <c r="B24" t="s">
        <v>89</v>
      </c>
      <c r="C24">
        <v>28671032</v>
      </c>
      <c r="D24">
        <v>24117121</v>
      </c>
      <c r="E24">
        <v>35224587</v>
      </c>
      <c r="F24">
        <v>109765184</v>
      </c>
      <c r="G24">
        <v>3229277</v>
      </c>
      <c r="H24">
        <v>3392861</v>
      </c>
      <c r="I24">
        <v>64702494</v>
      </c>
      <c r="J24">
        <v>41579520</v>
      </c>
      <c r="K24">
        <v>8400896</v>
      </c>
      <c r="L24">
        <v>6705953</v>
      </c>
      <c r="M24">
        <v>4236461</v>
      </c>
      <c r="O24">
        <v>330025386</v>
      </c>
    </row>
    <row r="28" spans="2:15" x14ac:dyDescent="0.25">
      <c r="B28" s="22" t="s">
        <v>161</v>
      </c>
      <c r="C28" s="21" t="s">
        <v>68</v>
      </c>
      <c r="D28" s="21" t="s">
        <v>69</v>
      </c>
      <c r="E28" s="21" t="s">
        <v>58</v>
      </c>
    </row>
    <row r="29" spans="2:15" x14ac:dyDescent="0.25">
      <c r="B29" s="1">
        <v>10710907</v>
      </c>
      <c r="C29" s="1">
        <v>259392</v>
      </c>
      <c r="D29" s="1">
        <v>201808</v>
      </c>
      <c r="E29" s="1">
        <v>155046</v>
      </c>
    </row>
    <row r="30" spans="2:15" x14ac:dyDescent="0.25">
      <c r="B30" s="1">
        <v>13658125</v>
      </c>
      <c r="C30" s="1">
        <v>654100</v>
      </c>
      <c r="D30" s="1">
        <v>301823</v>
      </c>
      <c r="E30" s="1">
        <v>73484</v>
      </c>
    </row>
    <row r="31" spans="2:15" x14ac:dyDescent="0.25">
      <c r="B31" s="1">
        <v>9571557</v>
      </c>
      <c r="C31" s="1">
        <v>740466</v>
      </c>
      <c r="D31" s="1">
        <v>223646</v>
      </c>
      <c r="E31" s="1">
        <v>135629</v>
      </c>
    </row>
    <row r="32" spans="2:15" x14ac:dyDescent="0.25">
      <c r="B32" s="1">
        <v>12982199</v>
      </c>
      <c r="C32" s="1">
        <v>1350880</v>
      </c>
      <c r="D32" s="1">
        <v>190902</v>
      </c>
      <c r="E32" s="1">
        <v>33350</v>
      </c>
    </row>
    <row r="33" spans="2:5" x14ac:dyDescent="0.25">
      <c r="B33" s="1">
        <v>11250591</v>
      </c>
      <c r="C33" s="1">
        <v>481335</v>
      </c>
      <c r="D33" s="1">
        <v>225805</v>
      </c>
      <c r="E33" s="1">
        <v>9256</v>
      </c>
    </row>
    <row r="34" spans="2:5" x14ac:dyDescent="0.25">
      <c r="B34" s="1">
        <v>20171872</v>
      </c>
      <c r="C34" s="1">
        <v>659560</v>
      </c>
      <c r="D34" s="1">
        <v>119994</v>
      </c>
      <c r="E34" s="1">
        <v>110572</v>
      </c>
    </row>
    <row r="35" spans="2:5" x14ac:dyDescent="0.25">
      <c r="B35" s="1">
        <v>23841982</v>
      </c>
      <c r="C35" s="1">
        <v>784093</v>
      </c>
      <c r="D35" s="1">
        <v>76617</v>
      </c>
      <c r="E35" s="1">
        <v>146837</v>
      </c>
    </row>
    <row r="36" spans="2:5" x14ac:dyDescent="0.25">
      <c r="B36" s="1">
        <v>36696363</v>
      </c>
      <c r="C36" s="1">
        <v>1634940</v>
      </c>
      <c r="D36" s="1">
        <v>42512</v>
      </c>
      <c r="E36" s="1">
        <v>24351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1"/>
  <sheetViews>
    <sheetView tabSelected="1" zoomScaleNormal="100" workbookViewId="0">
      <selection activeCell="G29" sqref="G29"/>
    </sheetView>
  </sheetViews>
  <sheetFormatPr defaultRowHeight="15" x14ac:dyDescent="0.25"/>
  <cols>
    <col min="3" max="3" width="10.85546875" customWidth="1"/>
    <col min="4" max="5" width="7.7109375" style="1" customWidth="1"/>
  </cols>
  <sheetData>
    <row r="1" spans="1:11" x14ac:dyDescent="0.25">
      <c r="A1" t="s">
        <v>18</v>
      </c>
      <c r="C1" t="s">
        <v>91</v>
      </c>
    </row>
    <row r="2" spans="1:11" x14ac:dyDescent="0.25">
      <c r="A2" s="7">
        <v>0</v>
      </c>
      <c r="C2" t="s">
        <v>29</v>
      </c>
      <c r="F2" s="1"/>
      <c r="G2" s="1"/>
      <c r="H2" s="1"/>
      <c r="K2" s="3"/>
    </row>
    <row r="3" spans="1:11" x14ac:dyDescent="0.25">
      <c r="F3" s="1"/>
      <c r="G3" s="1"/>
      <c r="H3" s="1"/>
      <c r="K3" s="3"/>
    </row>
    <row r="4" spans="1:11" x14ac:dyDescent="0.25">
      <c r="D4" s="1" t="s">
        <v>24</v>
      </c>
      <c r="E4" s="1" t="s">
        <v>25</v>
      </c>
      <c r="F4" s="1" t="s">
        <v>10</v>
      </c>
      <c r="G4" s="1"/>
      <c r="H4" s="1"/>
      <c r="K4" s="3"/>
    </row>
    <row r="5" spans="1:11" x14ac:dyDescent="0.25">
      <c r="C5" s="2" t="s">
        <v>26</v>
      </c>
      <c r="D5" s="1">
        <v>32</v>
      </c>
      <c r="E5" s="1">
        <v>5</v>
      </c>
      <c r="F5" s="1">
        <f>SUM(D5:E5)</f>
        <v>37</v>
      </c>
      <c r="G5" s="1"/>
      <c r="H5" s="1"/>
      <c r="K5" s="3"/>
    </row>
    <row r="6" spans="1:11" x14ac:dyDescent="0.25">
      <c r="C6" s="2" t="s">
        <v>27</v>
      </c>
      <c r="D6" s="1">
        <v>69</v>
      </c>
      <c r="E6" s="1">
        <v>39</v>
      </c>
      <c r="F6" s="1">
        <f>SUM(D6:E6)</f>
        <v>108</v>
      </c>
      <c r="G6" s="1"/>
      <c r="H6" s="1"/>
      <c r="K6" s="3"/>
    </row>
    <row r="7" spans="1:11" x14ac:dyDescent="0.25">
      <c r="C7" s="2" t="s">
        <v>28</v>
      </c>
      <c r="D7" s="1">
        <v>35</v>
      </c>
      <c r="E7" s="1">
        <v>6</v>
      </c>
      <c r="F7" s="1">
        <f>SUM(D7:E7)</f>
        <v>41</v>
      </c>
      <c r="G7" s="1"/>
      <c r="H7" s="1"/>
      <c r="I7" s="4"/>
      <c r="K7" s="3"/>
    </row>
    <row r="8" spans="1:11" x14ac:dyDescent="0.25">
      <c r="C8" s="2" t="s">
        <v>10</v>
      </c>
      <c r="D8" s="1">
        <f>SUM(D5:D7)</f>
        <v>136</v>
      </c>
      <c r="E8" s="1">
        <f>SUM(E5:E7)</f>
        <v>50</v>
      </c>
      <c r="F8" s="1">
        <f>SUM(D8:E8)</f>
        <v>186</v>
      </c>
      <c r="G8" s="1"/>
      <c r="H8" s="1"/>
    </row>
    <row r="9" spans="1:11" x14ac:dyDescent="0.25">
      <c r="G9" s="1"/>
      <c r="H9" s="1"/>
    </row>
    <row r="10" spans="1:11" x14ac:dyDescent="0.25">
      <c r="C10" s="47" t="s">
        <v>126</v>
      </c>
      <c r="D10" s="47"/>
      <c r="E10" s="47"/>
      <c r="F10" s="47"/>
      <c r="G10" s="47"/>
      <c r="H10" s="47"/>
      <c r="I10" s="47"/>
      <c r="J10" s="47"/>
      <c r="K10" s="47"/>
    </row>
    <row r="11" spans="1:11" x14ac:dyDescent="0.25">
      <c r="C11" s="25" t="s">
        <v>117</v>
      </c>
      <c r="F11" s="1"/>
    </row>
    <row r="13" spans="1:11" x14ac:dyDescent="0.25">
      <c r="C13" s="48" t="s">
        <v>118</v>
      </c>
      <c r="D13" s="48"/>
      <c r="E13" s="48"/>
      <c r="F13" s="48"/>
    </row>
    <row r="14" spans="1:11" x14ac:dyDescent="0.25">
      <c r="D14" s="19" t="s">
        <v>24</v>
      </c>
      <c r="E14" s="19" t="s">
        <v>25</v>
      </c>
      <c r="F14" s="19" t="s">
        <v>10</v>
      </c>
    </row>
    <row r="15" spans="1:11" x14ac:dyDescent="0.25">
      <c r="C15" s="18" t="s">
        <v>26</v>
      </c>
      <c r="D15" s="19">
        <f>$F5*D$8/$F$8</f>
        <v>27.053763440860216</v>
      </c>
      <c r="E15" s="19">
        <f>$F5*E$8/$F$8</f>
        <v>9.9462365591397841</v>
      </c>
      <c r="F15" s="19">
        <f>SUM(D15:E15)</f>
        <v>37</v>
      </c>
    </row>
    <row r="16" spans="1:11" x14ac:dyDescent="0.25">
      <c r="C16" s="18" t="s">
        <v>27</v>
      </c>
      <c r="D16" s="19">
        <f t="shared" ref="D16:E16" si="0">$F6*D$8/$F$8</f>
        <v>78.967741935483872</v>
      </c>
      <c r="E16" s="19">
        <f t="shared" si="0"/>
        <v>29.032258064516128</v>
      </c>
      <c r="F16" s="19">
        <f t="shared" ref="F16:F17" si="1">SUM(D16:E16)</f>
        <v>108</v>
      </c>
    </row>
    <row r="17" spans="3:22" x14ac:dyDescent="0.25">
      <c r="C17" s="18" t="s">
        <v>28</v>
      </c>
      <c r="D17" s="19">
        <f t="shared" ref="D17:E17" si="2">$F7*D$8/$F$8</f>
        <v>29.978494623655912</v>
      </c>
      <c r="E17" s="19">
        <f t="shared" si="2"/>
        <v>11.021505376344086</v>
      </c>
      <c r="F17" s="19">
        <f t="shared" si="1"/>
        <v>41</v>
      </c>
    </row>
    <row r="18" spans="3:22" x14ac:dyDescent="0.25">
      <c r="C18" s="18" t="s">
        <v>10</v>
      </c>
      <c r="D18" s="19">
        <f>SUM(D15:D17)</f>
        <v>136</v>
      </c>
      <c r="E18" s="19">
        <f t="shared" ref="E18:F18" si="3">SUM(E15:E17)</f>
        <v>50</v>
      </c>
      <c r="F18" s="19">
        <f t="shared" si="3"/>
        <v>186</v>
      </c>
    </row>
    <row r="21" spans="3:22" x14ac:dyDescent="0.25">
      <c r="C21" s="49" t="s">
        <v>115</v>
      </c>
      <c r="D21" s="49"/>
      <c r="E21" s="49"/>
      <c r="F21" s="49"/>
    </row>
    <row r="22" spans="3:22" x14ac:dyDescent="0.25">
      <c r="C22" s="18"/>
      <c r="D22" s="19" t="s">
        <v>24</v>
      </c>
      <c r="E22" s="19" t="s">
        <v>25</v>
      </c>
      <c r="F22" s="19" t="s">
        <v>10</v>
      </c>
    </row>
    <row r="23" spans="3:22" x14ac:dyDescent="0.25">
      <c r="C23" s="18" t="s">
        <v>26</v>
      </c>
      <c r="D23" s="19">
        <f t="shared" ref="D23:E25" si="4">POWER(D5-D15,2)/D15</f>
        <v>0.90431987965194771</v>
      </c>
      <c r="E23" s="19">
        <f t="shared" si="4"/>
        <v>2.4597500726532981</v>
      </c>
      <c r="F23" s="19">
        <f>SUM(D23:E23)</f>
        <v>3.364069952305246</v>
      </c>
    </row>
    <row r="24" spans="3:22" x14ac:dyDescent="0.25">
      <c r="C24" s="18" t="s">
        <v>27</v>
      </c>
      <c r="D24" s="19">
        <f t="shared" si="4"/>
        <v>1.2581831119544595</v>
      </c>
      <c r="E24" s="19">
        <f t="shared" si="4"/>
        <v>3.42225806451613</v>
      </c>
      <c r="F24" s="19">
        <f t="shared" ref="F24:F25" si="5">SUM(D24:E24)</f>
        <v>4.6804411764705893</v>
      </c>
    </row>
    <row r="25" spans="3:22" x14ac:dyDescent="0.25">
      <c r="C25" s="18" t="s">
        <v>28</v>
      </c>
      <c r="D25" s="19">
        <f t="shared" si="4"/>
        <v>0.84112016167600079</v>
      </c>
      <c r="E25" s="19">
        <f t="shared" si="4"/>
        <v>2.2878468397587204</v>
      </c>
      <c r="F25" s="19">
        <f t="shared" si="5"/>
        <v>3.1289670014347211</v>
      </c>
    </row>
    <row r="26" spans="3:22" x14ac:dyDescent="0.25">
      <c r="C26" s="18" t="s">
        <v>10</v>
      </c>
      <c r="D26" s="19">
        <f>SUM(D23:D25)</f>
        <v>3.0036231532824078</v>
      </c>
      <c r="E26" s="19">
        <f t="shared" ref="E26" si="6">SUM(E23:E25)</f>
        <v>8.1698549769281499</v>
      </c>
      <c r="F26" s="19">
        <f t="shared" ref="F26" si="7">SUM(F23:F25)</f>
        <v>11.173478130210555</v>
      </c>
    </row>
    <row r="28" spans="3:22" x14ac:dyDescent="0.25">
      <c r="C28" s="50" t="s">
        <v>113</v>
      </c>
      <c r="D28" s="50"/>
      <c r="E28" s="50"/>
      <c r="F28" s="21">
        <f>F26</f>
        <v>11.173478130210555</v>
      </c>
    </row>
    <row r="29" spans="3:22" x14ac:dyDescent="0.25">
      <c r="C29" s="50" t="s">
        <v>114</v>
      </c>
      <c r="D29" s="50"/>
      <c r="E29" s="50"/>
      <c r="F29" s="23">
        <f>_xlfn.CHISQ.INV.RT(0.05,2)</f>
        <v>5.9914645471079817</v>
      </c>
      <c r="G29" s="24">
        <f>_xlfn.CHISQ.INV(0.05,2)</f>
        <v>0.10258658877510107</v>
      </c>
    </row>
    <row r="31" spans="3:22" x14ac:dyDescent="0.25">
      <c r="C31" s="49" t="s">
        <v>116</v>
      </c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</row>
  </sheetData>
  <mergeCells count="6">
    <mergeCell ref="C10:K10"/>
    <mergeCell ref="C13:F13"/>
    <mergeCell ref="C21:F21"/>
    <mergeCell ref="C31:V31"/>
    <mergeCell ref="C28:E28"/>
    <mergeCell ref="C29:E2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0"/>
  <sheetViews>
    <sheetView zoomScaleNormal="100" workbookViewId="0">
      <selection activeCell="H17" sqref="H17"/>
    </sheetView>
  </sheetViews>
  <sheetFormatPr defaultRowHeight="15" x14ac:dyDescent="0.25"/>
  <cols>
    <col min="2" max="2" width="5.140625" bestFit="1" customWidth="1"/>
    <col min="3" max="3" width="17.85546875" customWidth="1"/>
    <col min="4" max="4" width="15.7109375" bestFit="1" customWidth="1"/>
  </cols>
  <sheetData>
    <row r="1" spans="1:8" x14ac:dyDescent="0.25">
      <c r="A1" t="s">
        <v>7</v>
      </c>
      <c r="C1" t="s">
        <v>94</v>
      </c>
    </row>
    <row r="2" spans="1:8" x14ac:dyDescent="0.25">
      <c r="A2" s="7">
        <v>0</v>
      </c>
    </row>
    <row r="3" spans="1:8" x14ac:dyDescent="0.25">
      <c r="C3" t="s">
        <v>98</v>
      </c>
    </row>
    <row r="5" spans="1:8" x14ac:dyDescent="0.25">
      <c r="C5" s="8" t="s">
        <v>99</v>
      </c>
      <c r="D5" s="1"/>
    </row>
    <row r="6" spans="1:8" x14ac:dyDescent="0.25">
      <c r="D6" s="1"/>
    </row>
    <row r="7" spans="1:8" x14ac:dyDescent="0.25">
      <c r="C7" s="8" t="s">
        <v>95</v>
      </c>
      <c r="D7" s="1"/>
    </row>
    <row r="8" spans="1:8" x14ac:dyDescent="0.25">
      <c r="C8" s="1"/>
      <c r="D8" s="1"/>
    </row>
    <row r="9" spans="1:8" x14ac:dyDescent="0.25">
      <c r="C9" s="8" t="s">
        <v>119</v>
      </c>
      <c r="D9" s="1"/>
    </row>
    <row r="10" spans="1:8" x14ac:dyDescent="0.25">
      <c r="C10" s="1"/>
      <c r="D10" s="1"/>
    </row>
    <row r="11" spans="1:8" x14ac:dyDescent="0.25">
      <c r="C11" s="8" t="s">
        <v>125</v>
      </c>
      <c r="D11" s="1"/>
    </row>
    <row r="12" spans="1:8" x14ac:dyDescent="0.25">
      <c r="C12" s="1"/>
      <c r="D12" s="1"/>
    </row>
    <row r="13" spans="1:8" x14ac:dyDescent="0.25">
      <c r="C13" t="s">
        <v>121</v>
      </c>
      <c r="D13" s="13">
        <f>_xlfn.VAR.S(PivotPom!C14:C21)</f>
        <v>158770970398.55356</v>
      </c>
    </row>
    <row r="14" spans="1:8" x14ac:dyDescent="0.25">
      <c r="C14" s="1" t="s">
        <v>120</v>
      </c>
      <c r="D14" s="26">
        <f>_xlfn.VAR.S(PivotPom!D14:D21)</f>
        <v>310251881782.125</v>
      </c>
    </row>
    <row r="15" spans="1:8" x14ac:dyDescent="0.25">
      <c r="C15" s="1"/>
      <c r="D15" s="1"/>
    </row>
    <row r="16" spans="1:8" x14ac:dyDescent="0.25">
      <c r="C16" s="51" t="s">
        <v>122</v>
      </c>
      <c r="D16" s="51"/>
      <c r="E16" s="51"/>
      <c r="F16" s="51"/>
      <c r="G16" s="51"/>
      <c r="H16" s="22">
        <f>D14/D13</f>
        <v>1.9540844337180638</v>
      </c>
    </row>
    <row r="17" spans="3:8" x14ac:dyDescent="0.25">
      <c r="C17" s="51" t="s">
        <v>123</v>
      </c>
      <c r="D17" s="51"/>
      <c r="E17" s="51"/>
      <c r="F17" s="51"/>
      <c r="G17" s="51"/>
      <c r="H17" s="22">
        <f>_xlfn.F.INV.RT(0.05,COUNT(PivotPom!C14:C21)-1,COUNT(PivotPom!D14:D21)-1)</f>
        <v>3.7870435399280704</v>
      </c>
    </row>
    <row r="18" spans="3:8" x14ac:dyDescent="0.25">
      <c r="C18" s="1"/>
      <c r="D18" s="1"/>
    </row>
    <row r="19" spans="3:8" x14ac:dyDescent="0.25">
      <c r="C19" s="8" t="s">
        <v>124</v>
      </c>
      <c r="D19" s="1"/>
    </row>
    <row r="20" spans="3:8" x14ac:dyDescent="0.25">
      <c r="C20" s="1"/>
      <c r="D20" s="1"/>
    </row>
    <row r="21" spans="3:8" x14ac:dyDescent="0.25">
      <c r="C21" s="1"/>
      <c r="D21" s="1"/>
    </row>
    <row r="22" spans="3:8" x14ac:dyDescent="0.25">
      <c r="C22" s="1"/>
      <c r="D22" s="1"/>
    </row>
    <row r="23" spans="3:8" x14ac:dyDescent="0.25">
      <c r="C23" s="1"/>
      <c r="D23" s="1"/>
    </row>
    <row r="24" spans="3:8" x14ac:dyDescent="0.25">
      <c r="C24" s="1"/>
      <c r="D24" s="1"/>
    </row>
    <row r="25" spans="3:8" x14ac:dyDescent="0.25">
      <c r="C25" s="1"/>
      <c r="D25" s="1"/>
    </row>
    <row r="26" spans="3:8" x14ac:dyDescent="0.25">
      <c r="C26" s="1"/>
      <c r="D26" s="1"/>
    </row>
    <row r="27" spans="3:8" x14ac:dyDescent="0.25">
      <c r="C27" s="1"/>
      <c r="D27" s="1"/>
    </row>
    <row r="28" spans="3:8" x14ac:dyDescent="0.25">
      <c r="C28" s="1"/>
      <c r="D28" s="1"/>
    </row>
    <row r="29" spans="3:8" x14ac:dyDescent="0.25">
      <c r="C29" s="1"/>
      <c r="D29" s="1"/>
    </row>
    <row r="30" spans="3:8" x14ac:dyDescent="0.25">
      <c r="C30" s="1"/>
      <c r="D30" s="1"/>
    </row>
    <row r="31" spans="3:8" x14ac:dyDescent="0.25">
      <c r="C31" s="1"/>
      <c r="D31" s="1"/>
    </row>
    <row r="32" spans="3:8" x14ac:dyDescent="0.25">
      <c r="C32" s="1"/>
      <c r="D32" s="1"/>
    </row>
    <row r="33" spans="3:4" x14ac:dyDescent="0.25">
      <c r="C33" s="1"/>
      <c r="D33" s="1"/>
    </row>
    <row r="34" spans="3:4" x14ac:dyDescent="0.25">
      <c r="C34" s="1"/>
      <c r="D34" s="1"/>
    </row>
    <row r="35" spans="3:4" x14ac:dyDescent="0.25">
      <c r="C35" s="1"/>
      <c r="D35" s="1"/>
    </row>
    <row r="36" spans="3:4" x14ac:dyDescent="0.25">
      <c r="C36" s="1"/>
      <c r="D36" s="1"/>
    </row>
    <row r="37" spans="3:4" x14ac:dyDescent="0.25">
      <c r="C37" s="1"/>
      <c r="D37" s="1"/>
    </row>
    <row r="38" spans="3:4" x14ac:dyDescent="0.25">
      <c r="C38" s="1"/>
      <c r="D38" s="1"/>
    </row>
    <row r="39" spans="3:4" x14ac:dyDescent="0.25">
      <c r="C39" s="1"/>
      <c r="D39" s="1"/>
    </row>
    <row r="40" spans="3:4" x14ac:dyDescent="0.25">
      <c r="C40" s="1"/>
      <c r="D40" s="1"/>
    </row>
    <row r="41" spans="3:4" x14ac:dyDescent="0.25">
      <c r="C41" s="1"/>
      <c r="D41" s="1"/>
    </row>
    <row r="42" spans="3:4" x14ac:dyDescent="0.25">
      <c r="C42" s="1"/>
      <c r="D42" s="1"/>
    </row>
    <row r="43" spans="3:4" x14ac:dyDescent="0.25">
      <c r="C43" s="1"/>
      <c r="D43" s="1"/>
    </row>
    <row r="44" spans="3:4" x14ac:dyDescent="0.25">
      <c r="C44" s="1"/>
      <c r="D44" s="1"/>
    </row>
    <row r="45" spans="3:4" x14ac:dyDescent="0.25">
      <c r="C45" s="1"/>
      <c r="D45" s="1"/>
    </row>
    <row r="46" spans="3:4" x14ac:dyDescent="0.25">
      <c r="C46" s="1"/>
      <c r="D46" s="1"/>
    </row>
    <row r="47" spans="3:4" x14ac:dyDescent="0.25">
      <c r="C47" s="1"/>
      <c r="D47" s="1"/>
    </row>
    <row r="48" spans="3:4" x14ac:dyDescent="0.25">
      <c r="C48" s="1"/>
      <c r="D48" s="1"/>
    </row>
    <row r="49" spans="3:4" x14ac:dyDescent="0.25">
      <c r="C49" s="1"/>
      <c r="D49" s="1"/>
    </row>
    <row r="50" spans="3:4" x14ac:dyDescent="0.25">
      <c r="C50" s="1"/>
      <c r="D50" s="1"/>
    </row>
    <row r="51" spans="3:4" x14ac:dyDescent="0.25">
      <c r="C51" s="1"/>
      <c r="D51" s="1"/>
    </row>
    <row r="52" spans="3:4" x14ac:dyDescent="0.25">
      <c r="C52" s="1"/>
      <c r="D52" s="1"/>
    </row>
    <row r="53" spans="3:4" x14ac:dyDescent="0.25">
      <c r="C53" s="1"/>
      <c r="D53" s="1"/>
    </row>
    <row r="54" spans="3:4" x14ac:dyDescent="0.25">
      <c r="C54" s="1"/>
      <c r="D54" s="1"/>
    </row>
    <row r="55" spans="3:4" x14ac:dyDescent="0.25">
      <c r="C55" s="1"/>
      <c r="D55" s="1"/>
    </row>
    <row r="56" spans="3:4" x14ac:dyDescent="0.25">
      <c r="C56" s="1"/>
      <c r="D56" s="1"/>
    </row>
    <row r="57" spans="3:4" x14ac:dyDescent="0.25">
      <c r="C57" s="1"/>
      <c r="D57" s="1"/>
    </row>
    <row r="58" spans="3:4" x14ac:dyDescent="0.25">
      <c r="C58" s="1"/>
      <c r="D58" s="1"/>
    </row>
    <row r="59" spans="3:4" x14ac:dyDescent="0.25">
      <c r="C59" s="1"/>
      <c r="D59" s="1"/>
    </row>
    <row r="60" spans="3:4" x14ac:dyDescent="0.25">
      <c r="C60" s="1"/>
      <c r="D60" s="1"/>
    </row>
    <row r="61" spans="3:4" x14ac:dyDescent="0.25">
      <c r="C61" s="1"/>
      <c r="D61" s="1"/>
    </row>
    <row r="62" spans="3:4" x14ac:dyDescent="0.25">
      <c r="C62" s="1"/>
      <c r="D62" s="1"/>
    </row>
    <row r="63" spans="3:4" x14ac:dyDescent="0.25">
      <c r="C63" s="1"/>
      <c r="D63" s="1"/>
    </row>
    <row r="64" spans="3:4" x14ac:dyDescent="0.25">
      <c r="C64" s="1"/>
      <c r="D64" s="1"/>
    </row>
    <row r="65" spans="3:4" x14ac:dyDescent="0.25">
      <c r="C65" s="1"/>
      <c r="D65" s="1"/>
    </row>
    <row r="66" spans="3:4" x14ac:dyDescent="0.25">
      <c r="C66" s="1"/>
      <c r="D66" s="1"/>
    </row>
    <row r="67" spans="3:4" x14ac:dyDescent="0.25">
      <c r="C67" s="1"/>
      <c r="D67" s="1"/>
    </row>
    <row r="68" spans="3:4" x14ac:dyDescent="0.25">
      <c r="C68" s="1"/>
      <c r="D68" s="1"/>
    </row>
    <row r="69" spans="3:4" x14ac:dyDescent="0.25">
      <c r="C69" s="1"/>
      <c r="D69" s="1"/>
    </row>
    <row r="70" spans="3:4" x14ac:dyDescent="0.25">
      <c r="C70" s="1"/>
      <c r="D70" s="1"/>
    </row>
    <row r="71" spans="3:4" x14ac:dyDescent="0.25">
      <c r="C71" s="1"/>
      <c r="D71" s="1"/>
    </row>
    <row r="72" spans="3:4" x14ac:dyDescent="0.25">
      <c r="C72" s="1"/>
      <c r="D72" s="1"/>
    </row>
    <row r="73" spans="3:4" x14ac:dyDescent="0.25">
      <c r="C73" s="1"/>
      <c r="D73" s="1"/>
    </row>
    <row r="74" spans="3:4" x14ac:dyDescent="0.25">
      <c r="C74" s="1"/>
      <c r="D74" s="1"/>
    </row>
    <row r="75" spans="3:4" x14ac:dyDescent="0.25">
      <c r="C75" s="1"/>
      <c r="D75" s="1"/>
    </row>
    <row r="76" spans="3:4" x14ac:dyDescent="0.25">
      <c r="C76" s="1"/>
      <c r="D76" s="1"/>
    </row>
    <row r="77" spans="3:4" x14ac:dyDescent="0.25">
      <c r="C77" s="1"/>
      <c r="D77" s="1"/>
    </row>
    <row r="78" spans="3:4" x14ac:dyDescent="0.25">
      <c r="C78" s="1"/>
      <c r="D78" s="1"/>
    </row>
    <row r="79" spans="3:4" x14ac:dyDescent="0.25">
      <c r="C79" s="1"/>
      <c r="D79" s="1"/>
    </row>
    <row r="80" spans="3:4" x14ac:dyDescent="0.25">
      <c r="C80" s="1"/>
      <c r="D80" s="1"/>
    </row>
    <row r="81" spans="3:4" x14ac:dyDescent="0.25">
      <c r="C81" s="1"/>
      <c r="D81" s="1"/>
    </row>
    <row r="82" spans="3:4" x14ac:dyDescent="0.25">
      <c r="C82" s="1"/>
      <c r="D82" s="1"/>
    </row>
    <row r="83" spans="3:4" x14ac:dyDescent="0.25">
      <c r="C83" s="1"/>
      <c r="D83" s="1"/>
    </row>
    <row r="84" spans="3:4" x14ac:dyDescent="0.25">
      <c r="C84" s="1"/>
      <c r="D84" s="1"/>
    </row>
    <row r="85" spans="3:4" x14ac:dyDescent="0.25">
      <c r="C85" s="1"/>
      <c r="D85" s="1"/>
    </row>
    <row r="86" spans="3:4" x14ac:dyDescent="0.25">
      <c r="C86" s="1"/>
      <c r="D86" s="1"/>
    </row>
    <row r="87" spans="3:4" x14ac:dyDescent="0.25">
      <c r="C87" s="1"/>
      <c r="D87" s="1"/>
    </row>
    <row r="88" spans="3:4" x14ac:dyDescent="0.25">
      <c r="C88" s="1"/>
      <c r="D88" s="1"/>
    </row>
    <row r="89" spans="3:4" x14ac:dyDescent="0.25">
      <c r="C89" s="1"/>
      <c r="D89" s="1"/>
    </row>
    <row r="90" spans="3:4" x14ac:dyDescent="0.25">
      <c r="C90" s="1"/>
      <c r="D90" s="1"/>
    </row>
    <row r="91" spans="3:4" x14ac:dyDescent="0.25">
      <c r="C91" s="1"/>
      <c r="D91" s="1"/>
    </row>
    <row r="92" spans="3:4" x14ac:dyDescent="0.25">
      <c r="C92" s="1"/>
      <c r="D92" s="1"/>
    </row>
    <row r="93" spans="3:4" x14ac:dyDescent="0.25">
      <c r="C93" s="1"/>
      <c r="D93" s="1"/>
    </row>
    <row r="94" spans="3:4" x14ac:dyDescent="0.25">
      <c r="C94" s="1"/>
      <c r="D94" s="1"/>
    </row>
    <row r="95" spans="3:4" x14ac:dyDescent="0.25">
      <c r="C95" s="1"/>
      <c r="D95" s="1"/>
    </row>
    <row r="96" spans="3:4" x14ac:dyDescent="0.25">
      <c r="C96" s="1"/>
      <c r="D96" s="1"/>
    </row>
    <row r="97" spans="3:4" x14ac:dyDescent="0.25">
      <c r="C97" s="1"/>
      <c r="D97" s="1"/>
    </row>
    <row r="98" spans="3:4" x14ac:dyDescent="0.25">
      <c r="C98" s="1"/>
      <c r="D98" s="1"/>
    </row>
    <row r="99" spans="3:4" x14ac:dyDescent="0.25">
      <c r="C99" s="1"/>
      <c r="D99" s="1"/>
    </row>
    <row r="100" spans="3:4" x14ac:dyDescent="0.25">
      <c r="C100" s="1"/>
      <c r="D100" s="1"/>
    </row>
    <row r="101" spans="3:4" x14ac:dyDescent="0.25">
      <c r="C101" s="1"/>
      <c r="D101" s="1"/>
    </row>
    <row r="102" spans="3:4" x14ac:dyDescent="0.25">
      <c r="C102" s="1"/>
      <c r="D102" s="1"/>
    </row>
    <row r="103" spans="3:4" x14ac:dyDescent="0.25">
      <c r="C103" s="1"/>
      <c r="D103" s="1"/>
    </row>
    <row r="104" spans="3:4" x14ac:dyDescent="0.25">
      <c r="C104" s="1"/>
      <c r="D104" s="1"/>
    </row>
    <row r="105" spans="3:4" x14ac:dyDescent="0.25">
      <c r="C105" s="1"/>
      <c r="D105" s="1"/>
    </row>
    <row r="106" spans="3:4" x14ac:dyDescent="0.25">
      <c r="C106" s="1"/>
      <c r="D106" s="1"/>
    </row>
    <row r="107" spans="3:4" x14ac:dyDescent="0.25">
      <c r="C107" s="1"/>
      <c r="D107" s="1"/>
    </row>
    <row r="108" spans="3:4" x14ac:dyDescent="0.25">
      <c r="C108" s="1"/>
      <c r="D108" s="1"/>
    </row>
    <row r="109" spans="3:4" x14ac:dyDescent="0.25">
      <c r="C109" s="1"/>
      <c r="D109" s="1"/>
    </row>
    <row r="110" spans="3:4" x14ac:dyDescent="0.25">
      <c r="C110" s="1"/>
      <c r="D110" s="1"/>
    </row>
    <row r="111" spans="3:4" x14ac:dyDescent="0.25">
      <c r="C111" s="1"/>
      <c r="D111" s="1"/>
    </row>
    <row r="112" spans="3:4" x14ac:dyDescent="0.25">
      <c r="C112" s="1"/>
      <c r="D112" s="1"/>
    </row>
    <row r="113" spans="3:4" x14ac:dyDescent="0.25">
      <c r="C113" s="1"/>
      <c r="D113" s="1"/>
    </row>
    <row r="114" spans="3:4" x14ac:dyDescent="0.25">
      <c r="C114" s="1"/>
      <c r="D114" s="1"/>
    </row>
    <row r="115" spans="3:4" x14ac:dyDescent="0.25">
      <c r="C115" s="1"/>
      <c r="D115" s="1"/>
    </row>
    <row r="116" spans="3:4" x14ac:dyDescent="0.25">
      <c r="C116" s="1"/>
      <c r="D116" s="1"/>
    </row>
    <row r="117" spans="3:4" x14ac:dyDescent="0.25">
      <c r="C117" s="1"/>
      <c r="D117" s="1"/>
    </row>
    <row r="118" spans="3:4" x14ac:dyDescent="0.25">
      <c r="C118" s="1"/>
      <c r="D118" s="1"/>
    </row>
    <row r="119" spans="3:4" x14ac:dyDescent="0.25">
      <c r="C119" s="1"/>
      <c r="D119" s="1"/>
    </row>
    <row r="120" spans="3:4" x14ac:dyDescent="0.25">
      <c r="C120" s="1"/>
      <c r="D120" s="1"/>
    </row>
    <row r="121" spans="3:4" x14ac:dyDescent="0.25">
      <c r="C121" s="1"/>
      <c r="D121" s="1"/>
    </row>
    <row r="122" spans="3:4" x14ac:dyDescent="0.25">
      <c r="C122" s="1"/>
      <c r="D122" s="1"/>
    </row>
    <row r="123" spans="3:4" x14ac:dyDescent="0.25">
      <c r="C123" s="1"/>
      <c r="D123" s="1"/>
    </row>
    <row r="124" spans="3:4" x14ac:dyDescent="0.25">
      <c r="C124" s="1"/>
      <c r="D124" s="1"/>
    </row>
    <row r="125" spans="3:4" x14ac:dyDescent="0.25">
      <c r="C125" s="1"/>
      <c r="D125" s="1"/>
    </row>
    <row r="126" spans="3:4" x14ac:dyDescent="0.25">
      <c r="C126" s="1"/>
      <c r="D126" s="1"/>
    </row>
    <row r="127" spans="3:4" x14ac:dyDescent="0.25">
      <c r="C127" s="1"/>
      <c r="D127" s="1"/>
    </row>
    <row r="128" spans="3:4" x14ac:dyDescent="0.25">
      <c r="C128" s="1"/>
      <c r="D128" s="1"/>
    </row>
    <row r="129" spans="3:4" x14ac:dyDescent="0.25">
      <c r="C129" s="1"/>
      <c r="D129" s="1"/>
    </row>
    <row r="130" spans="3:4" x14ac:dyDescent="0.25">
      <c r="C130" s="1"/>
      <c r="D130" s="1"/>
    </row>
  </sheetData>
  <mergeCells count="2">
    <mergeCell ref="C16:G16"/>
    <mergeCell ref="C17:G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9"/>
  <sheetViews>
    <sheetView topLeftCell="A7" workbookViewId="0">
      <selection activeCell="D30" sqref="D30"/>
    </sheetView>
  </sheetViews>
  <sheetFormatPr defaultRowHeight="15" x14ac:dyDescent="0.25"/>
  <cols>
    <col min="2" max="2" width="4.7109375" customWidth="1"/>
    <col min="3" max="3" width="13" customWidth="1"/>
  </cols>
  <sheetData>
    <row r="1" spans="1:9" x14ac:dyDescent="0.25">
      <c r="A1" t="s">
        <v>8</v>
      </c>
      <c r="C1" t="s">
        <v>94</v>
      </c>
    </row>
    <row r="2" spans="1:9" x14ac:dyDescent="0.25">
      <c r="A2" s="7">
        <v>0</v>
      </c>
    </row>
    <row r="3" spans="1:9" x14ac:dyDescent="0.25">
      <c r="C3" t="s">
        <v>102</v>
      </c>
    </row>
    <row r="5" spans="1:9" x14ac:dyDescent="0.25">
      <c r="C5" s="8" t="s">
        <v>99</v>
      </c>
      <c r="D5" s="1"/>
    </row>
    <row r="6" spans="1:9" x14ac:dyDescent="0.25">
      <c r="D6" s="1"/>
    </row>
    <row r="7" spans="1:9" x14ac:dyDescent="0.25">
      <c r="C7" s="8" t="s">
        <v>95</v>
      </c>
      <c r="D7" s="1"/>
    </row>
    <row r="8" spans="1:9" x14ac:dyDescent="0.25">
      <c r="D8" s="1"/>
    </row>
    <row r="9" spans="1:9" x14ac:dyDescent="0.25">
      <c r="C9" s="8" t="s">
        <v>127</v>
      </c>
      <c r="D9" s="1"/>
    </row>
    <row r="10" spans="1:9" x14ac:dyDescent="0.25">
      <c r="C10" s="1"/>
      <c r="D10" s="1"/>
    </row>
    <row r="11" spans="1:9" x14ac:dyDescent="0.25">
      <c r="C11" s="8" t="s">
        <v>128</v>
      </c>
      <c r="D11" s="1"/>
    </row>
    <row r="12" spans="1:9" x14ac:dyDescent="0.25">
      <c r="C12" s="1"/>
      <c r="D12" s="1"/>
    </row>
    <row r="13" spans="1:9" x14ac:dyDescent="0.25">
      <c r="C13" s="1"/>
      <c r="D13" s="27" t="s">
        <v>134</v>
      </c>
    </row>
    <row r="14" spans="1:9" x14ac:dyDescent="0.25">
      <c r="C14" s="1"/>
      <c r="D14" s="28">
        <f>PivotPom!C14-PivotPom!D14</f>
        <v>1880009</v>
      </c>
    </row>
    <row r="15" spans="1:9" x14ac:dyDescent="0.25">
      <c r="C15" s="1"/>
      <c r="D15" s="28">
        <f>PivotPom!C15-PivotPom!D15</f>
        <v>1152769</v>
      </c>
      <c r="F15" s="49" t="s">
        <v>135</v>
      </c>
      <c r="G15" s="49"/>
      <c r="H15" s="49"/>
      <c r="I15" s="21">
        <f>AVERAGE(D14:D21)</f>
        <v>1162989.25</v>
      </c>
    </row>
    <row r="16" spans="1:9" x14ac:dyDescent="0.25">
      <c r="D16" s="28">
        <f>PivotPom!C16-PivotPom!D16</f>
        <v>887425</v>
      </c>
    </row>
    <row r="17" spans="3:15" x14ac:dyDescent="0.25">
      <c r="D17" s="28">
        <f>PivotPom!C17-PivotPom!D17</f>
        <v>1345667</v>
      </c>
    </row>
    <row r="18" spans="3:15" x14ac:dyDescent="0.25">
      <c r="D18" s="28">
        <f>PivotPom!C18-PivotPom!D18</f>
        <v>1617290</v>
      </c>
      <c r="I18" s="49" t="s">
        <v>137</v>
      </c>
      <c r="J18" s="49"/>
      <c r="K18" s="49"/>
      <c r="M18" s="21">
        <f>_xlfn.STDEV.S(D14:D21)</f>
        <v>585092.79933668883</v>
      </c>
    </row>
    <row r="19" spans="3:15" x14ac:dyDescent="0.25">
      <c r="C19" s="1"/>
      <c r="D19" s="28">
        <f>PivotPom!C19-PivotPom!D19</f>
        <v>1487051</v>
      </c>
      <c r="F19" s="52" t="s">
        <v>136</v>
      </c>
      <c r="G19" s="52"/>
      <c r="H19" s="52"/>
      <c r="I19" s="52" t="s">
        <v>130</v>
      </c>
      <c r="J19" s="52"/>
      <c r="K19" s="52"/>
      <c r="L19" s="21" t="s">
        <v>133</v>
      </c>
      <c r="M19" s="30" t="s">
        <v>139</v>
      </c>
      <c r="N19" s="30" t="s">
        <v>133</v>
      </c>
      <c r="O19" s="22">
        <f>M18/M20</f>
        <v>206861.54301719627</v>
      </c>
    </row>
    <row r="20" spans="3:15" x14ac:dyDescent="0.25">
      <c r="C20" s="1"/>
      <c r="D20" s="28">
        <f>PivotPom!C20-PivotPom!D20</f>
        <v>962929</v>
      </c>
      <c r="I20" s="52" t="s">
        <v>138</v>
      </c>
      <c r="J20" s="52"/>
      <c r="K20" s="52"/>
      <c r="M20" s="21">
        <f>SQRT(COUNT(D14:D21))</f>
        <v>2.8284271247461903</v>
      </c>
    </row>
    <row r="21" spans="3:15" x14ac:dyDescent="0.25">
      <c r="C21" s="1"/>
      <c r="D21" s="29">
        <f>PivotPom!C21-PivotPom!D21</f>
        <v>-29226</v>
      </c>
    </row>
    <row r="24" spans="3:15" x14ac:dyDescent="0.25">
      <c r="C24" s="1"/>
      <c r="D24" s="49" t="s">
        <v>131</v>
      </c>
      <c r="E24" s="49"/>
      <c r="F24" s="49"/>
      <c r="G24" s="20"/>
      <c r="H24" s="21">
        <f>I15</f>
        <v>1162989.25</v>
      </c>
    </row>
    <row r="25" spans="3:15" x14ac:dyDescent="0.25">
      <c r="C25" s="21" t="s">
        <v>129</v>
      </c>
      <c r="D25" s="52" t="s">
        <v>130</v>
      </c>
      <c r="E25" s="52"/>
      <c r="F25" s="52"/>
      <c r="G25" s="21" t="s">
        <v>133</v>
      </c>
      <c r="H25" s="30" t="s">
        <v>139</v>
      </c>
      <c r="I25" s="30" t="s">
        <v>133</v>
      </c>
      <c r="J25" s="21">
        <f>H24/H26</f>
        <v>5.622066011096714</v>
      </c>
    </row>
    <row r="26" spans="3:15" x14ac:dyDescent="0.25">
      <c r="C26" s="1"/>
      <c r="D26" s="49" t="s">
        <v>132</v>
      </c>
      <c r="E26" s="49"/>
      <c r="F26" s="49"/>
      <c r="G26" s="20"/>
      <c r="H26" s="21">
        <f>O19</f>
        <v>206861.54301719627</v>
      </c>
    </row>
    <row r="27" spans="3:15" x14ac:dyDescent="0.25">
      <c r="C27" s="1"/>
      <c r="D27" s="1"/>
    </row>
    <row r="28" spans="3:15" x14ac:dyDescent="0.25">
      <c r="C28" s="1"/>
      <c r="D28" s="1"/>
    </row>
    <row r="29" spans="3:15" x14ac:dyDescent="0.25">
      <c r="C29" s="21" t="s">
        <v>140</v>
      </c>
      <c r="D29" s="1">
        <f>J25</f>
        <v>5.622066011096714</v>
      </c>
    </row>
    <row r="30" spans="3:15" x14ac:dyDescent="0.25">
      <c r="C30" s="21" t="s">
        <v>141</v>
      </c>
      <c r="D30" s="1">
        <f>_xlfn.T.INV.2T(0.05,COUNT(D14:D21)-1)</f>
        <v>2.3646242515927849</v>
      </c>
    </row>
    <row r="31" spans="3:15" x14ac:dyDescent="0.25">
      <c r="C31" s="1"/>
      <c r="D31" s="1"/>
    </row>
    <row r="32" spans="3:15" x14ac:dyDescent="0.25">
      <c r="C32" s="8" t="s">
        <v>142</v>
      </c>
      <c r="D32" s="1"/>
    </row>
    <row r="33" spans="3:4" x14ac:dyDescent="0.25">
      <c r="C33" s="1"/>
      <c r="D33" s="1"/>
    </row>
    <row r="34" spans="3:4" x14ac:dyDescent="0.25">
      <c r="C34" s="1"/>
      <c r="D34" s="1"/>
    </row>
    <row r="35" spans="3:4" x14ac:dyDescent="0.25">
      <c r="C35" s="1"/>
      <c r="D35" s="1"/>
    </row>
    <row r="36" spans="3:4" x14ac:dyDescent="0.25">
      <c r="C36" s="1"/>
      <c r="D36" s="1"/>
    </row>
    <row r="37" spans="3:4" x14ac:dyDescent="0.25">
      <c r="C37" s="1"/>
      <c r="D37" s="1"/>
    </row>
    <row r="38" spans="3:4" x14ac:dyDescent="0.25">
      <c r="C38" s="1"/>
      <c r="D38" s="1"/>
    </row>
    <row r="39" spans="3:4" x14ac:dyDescent="0.25">
      <c r="C39" s="1"/>
      <c r="D39" s="1"/>
    </row>
    <row r="40" spans="3:4" x14ac:dyDescent="0.25">
      <c r="C40" s="1"/>
      <c r="D40" s="1"/>
    </row>
    <row r="41" spans="3:4" x14ac:dyDescent="0.25">
      <c r="C41" s="1"/>
      <c r="D41" s="1"/>
    </row>
    <row r="42" spans="3:4" x14ac:dyDescent="0.25">
      <c r="C42" s="1"/>
      <c r="D42" s="1"/>
    </row>
    <row r="43" spans="3:4" x14ac:dyDescent="0.25">
      <c r="C43" s="1"/>
      <c r="D43" s="1"/>
    </row>
    <row r="44" spans="3:4" x14ac:dyDescent="0.25">
      <c r="C44" s="1"/>
      <c r="D44" s="1"/>
    </row>
    <row r="45" spans="3:4" x14ac:dyDescent="0.25">
      <c r="C45" s="1"/>
      <c r="D45" s="1"/>
    </row>
    <row r="46" spans="3:4" x14ac:dyDescent="0.25">
      <c r="C46" s="1"/>
      <c r="D46" s="1"/>
    </row>
    <row r="47" spans="3:4" x14ac:dyDescent="0.25">
      <c r="C47" s="1"/>
      <c r="D47" s="1"/>
    </row>
    <row r="48" spans="3:4" x14ac:dyDescent="0.25">
      <c r="C48" s="1"/>
      <c r="D48" s="1"/>
    </row>
    <row r="49" spans="3:4" x14ac:dyDescent="0.25">
      <c r="C49" s="1"/>
      <c r="D49" s="1"/>
    </row>
    <row r="50" spans="3:4" x14ac:dyDescent="0.25">
      <c r="C50" s="1"/>
      <c r="D50" s="1"/>
    </row>
    <row r="51" spans="3:4" x14ac:dyDescent="0.25">
      <c r="C51" s="1"/>
      <c r="D51" s="1"/>
    </row>
    <row r="52" spans="3:4" x14ac:dyDescent="0.25">
      <c r="C52" s="1"/>
      <c r="D52" s="1"/>
    </row>
    <row r="53" spans="3:4" x14ac:dyDescent="0.25">
      <c r="C53" s="1"/>
      <c r="D53" s="1"/>
    </row>
    <row r="54" spans="3:4" x14ac:dyDescent="0.25">
      <c r="C54" s="1"/>
      <c r="D54" s="1"/>
    </row>
    <row r="55" spans="3:4" x14ac:dyDescent="0.25">
      <c r="C55" s="1"/>
      <c r="D55" s="1"/>
    </row>
    <row r="56" spans="3:4" x14ac:dyDescent="0.25">
      <c r="C56" s="1"/>
      <c r="D56" s="1"/>
    </row>
    <row r="57" spans="3:4" x14ac:dyDescent="0.25">
      <c r="C57" s="1"/>
      <c r="D57" s="1"/>
    </row>
    <row r="58" spans="3:4" x14ac:dyDescent="0.25">
      <c r="C58" s="1"/>
      <c r="D58" s="1"/>
    </row>
    <row r="59" spans="3:4" x14ac:dyDescent="0.25">
      <c r="C59" s="1"/>
      <c r="D59" s="1"/>
    </row>
  </sheetData>
  <mergeCells count="8">
    <mergeCell ref="D26:F26"/>
    <mergeCell ref="F15:H15"/>
    <mergeCell ref="F19:H19"/>
    <mergeCell ref="I20:K20"/>
    <mergeCell ref="I19:K19"/>
    <mergeCell ref="I18:K18"/>
    <mergeCell ref="D24:F24"/>
    <mergeCell ref="D25:F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67"/>
  <sheetViews>
    <sheetView zoomScaleNormal="100" workbookViewId="0">
      <selection activeCell="C26" sqref="C26"/>
    </sheetView>
  </sheetViews>
  <sheetFormatPr defaultRowHeight="15" x14ac:dyDescent="0.25"/>
  <cols>
    <col min="2" max="2" width="12.85546875" customWidth="1"/>
    <col min="3" max="3" width="12" bestFit="1" customWidth="1"/>
    <col min="4" max="4" width="18.5703125" customWidth="1"/>
    <col min="5" max="7" width="9.28515625" bestFit="1" customWidth="1"/>
  </cols>
  <sheetData>
    <row r="1" spans="1:7" x14ac:dyDescent="0.25">
      <c r="A1" t="s">
        <v>9</v>
      </c>
      <c r="C1" t="s">
        <v>93</v>
      </c>
    </row>
    <row r="2" spans="1:7" x14ac:dyDescent="0.25">
      <c r="A2" s="7">
        <v>0</v>
      </c>
      <c r="C2" s="8" t="s">
        <v>95</v>
      </c>
    </row>
    <row r="4" spans="1:7" x14ac:dyDescent="0.25">
      <c r="C4" t="s">
        <v>103</v>
      </c>
    </row>
    <row r="6" spans="1:7" x14ac:dyDescent="0.25">
      <c r="C6" t="s">
        <v>105</v>
      </c>
    </row>
    <row r="7" spans="1:7" x14ac:dyDescent="0.25">
      <c r="C7" s="8"/>
      <c r="D7" s="8"/>
      <c r="E7" s="8"/>
      <c r="F7" s="8"/>
      <c r="G7" s="8"/>
    </row>
    <row r="8" spans="1:7" x14ac:dyDescent="0.25">
      <c r="C8" s="8" t="s">
        <v>104</v>
      </c>
      <c r="D8" s="8"/>
      <c r="E8" s="8"/>
      <c r="F8" s="8"/>
      <c r="G8" s="8"/>
    </row>
    <row r="9" spans="1:7" x14ac:dyDescent="0.25">
      <c r="C9" s="8"/>
      <c r="D9" s="8"/>
      <c r="E9" s="8"/>
      <c r="F9" s="8"/>
      <c r="G9" s="8"/>
    </row>
    <row r="10" spans="1:7" x14ac:dyDescent="0.25">
      <c r="C10" s="8" t="s">
        <v>106</v>
      </c>
      <c r="D10" s="8"/>
      <c r="E10" s="8"/>
      <c r="F10" s="8"/>
      <c r="G10" s="8"/>
    </row>
    <row r="11" spans="1:7" x14ac:dyDescent="0.25">
      <c r="C11" s="8"/>
      <c r="D11" s="8"/>
      <c r="E11" s="8"/>
      <c r="F11" s="8"/>
      <c r="G11" s="8"/>
    </row>
    <row r="12" spans="1:7" x14ac:dyDescent="0.25">
      <c r="C12" s="8" t="s">
        <v>107</v>
      </c>
      <c r="D12" s="8"/>
      <c r="E12" s="8"/>
      <c r="F12" s="8"/>
      <c r="G12" s="8"/>
    </row>
    <row r="13" spans="1:7" x14ac:dyDescent="0.25">
      <c r="C13" s="8"/>
      <c r="D13" s="8"/>
      <c r="E13" s="8"/>
      <c r="F13" s="8"/>
      <c r="G13" s="8"/>
    </row>
    <row r="14" spans="1:7" x14ac:dyDescent="0.25">
      <c r="C14" s="8"/>
      <c r="D14" s="8"/>
      <c r="E14" s="8"/>
      <c r="F14" s="8"/>
      <c r="G14" s="8"/>
    </row>
    <row r="15" spans="1:7" x14ac:dyDescent="0.25">
      <c r="C15" s="21" t="s">
        <v>144</v>
      </c>
      <c r="D15" s="21" t="s">
        <v>143</v>
      </c>
      <c r="E15" s="8"/>
      <c r="F15" s="8"/>
      <c r="G15" s="8"/>
    </row>
    <row r="16" spans="1:7" x14ac:dyDescent="0.25">
      <c r="C16" s="1">
        <v>2010</v>
      </c>
      <c r="D16" s="1">
        <f>PivotPom!F4-PivotPom!F14</f>
        <v>-2254507</v>
      </c>
      <c r="E16" s="8"/>
      <c r="F16" s="8"/>
      <c r="G16" s="8"/>
    </row>
    <row r="17" spans="2:15" x14ac:dyDescent="0.25">
      <c r="C17" s="1">
        <v>2011</v>
      </c>
      <c r="D17" s="1">
        <f>PivotPom!F5-PivotPom!F15</f>
        <v>-1770338</v>
      </c>
      <c r="E17" s="8"/>
      <c r="F17" s="8"/>
      <c r="G17" s="8"/>
    </row>
    <row r="18" spans="2:15" x14ac:dyDescent="0.25">
      <c r="C18" s="1">
        <v>2012</v>
      </c>
      <c r="D18" s="1">
        <f>PivotPom!F6-PivotPom!F16</f>
        <v>-7313496</v>
      </c>
      <c r="E18" s="8"/>
      <c r="F18" s="8"/>
      <c r="G18" s="8"/>
    </row>
    <row r="19" spans="2:15" x14ac:dyDescent="0.25">
      <c r="C19" s="1">
        <v>2013</v>
      </c>
      <c r="D19" s="1">
        <f>PivotPom!F7-PivotPom!F17</f>
        <v>-5426094</v>
      </c>
      <c r="E19" s="8"/>
      <c r="F19" s="8"/>
      <c r="G19" s="8"/>
    </row>
    <row r="20" spans="2:15" x14ac:dyDescent="0.25">
      <c r="C20" s="1">
        <v>2014</v>
      </c>
      <c r="D20" s="1">
        <f>PivotPom!F8-PivotPom!F18</f>
        <v>-3579817</v>
      </c>
      <c r="E20" s="8"/>
      <c r="F20" s="8"/>
      <c r="G20" s="8"/>
    </row>
    <row r="21" spans="2:15" x14ac:dyDescent="0.25">
      <c r="C21" s="1">
        <v>2015</v>
      </c>
      <c r="D21" s="1">
        <f>PivotPom!F9-PivotPom!F19</f>
        <v>-1110001</v>
      </c>
      <c r="E21" s="8"/>
      <c r="F21" s="8"/>
      <c r="G21" s="8"/>
    </row>
    <row r="22" spans="2:15" x14ac:dyDescent="0.25">
      <c r="C22" s="1">
        <v>2016</v>
      </c>
      <c r="D22" s="1">
        <f>PivotPom!F10-PivotPom!F20</f>
        <v>-238952</v>
      </c>
      <c r="E22" s="8"/>
      <c r="F22" s="8"/>
      <c r="G22" s="8"/>
    </row>
    <row r="23" spans="2:15" x14ac:dyDescent="0.25">
      <c r="C23" s="1">
        <v>2017</v>
      </c>
      <c r="D23" s="1">
        <f>PivotPom!F11-PivotPom!F21</f>
        <v>246315</v>
      </c>
      <c r="E23" s="8"/>
      <c r="F23" s="8"/>
      <c r="G23" s="8"/>
    </row>
    <row r="24" spans="2:15" x14ac:dyDescent="0.25">
      <c r="C24" s="8"/>
      <c r="D24" s="8"/>
      <c r="E24" s="8"/>
      <c r="F24" s="8"/>
      <c r="G24" s="8"/>
    </row>
    <row r="25" spans="2:15" x14ac:dyDescent="0.25">
      <c r="C25" s="1" t="s">
        <v>145</v>
      </c>
      <c r="D25" s="1" t="s">
        <v>146</v>
      </c>
    </row>
    <row r="26" spans="2:15" x14ac:dyDescent="0.25">
      <c r="B26" s="22" t="s">
        <v>147</v>
      </c>
      <c r="C26" s="1">
        <f t="array" ref="C26:D30">LINEST(D16:D23,C16:C23,TRUE,TRUE)</f>
        <v>543088.64285714296</v>
      </c>
      <c r="D26" s="1">
        <v>-1096189843.6428573</v>
      </c>
    </row>
    <row r="27" spans="2:15" ht="15.75" x14ac:dyDescent="0.25">
      <c r="B27" s="22" t="s">
        <v>148</v>
      </c>
      <c r="C27" s="1">
        <v>374948.36446161103</v>
      </c>
      <c r="D27" s="1">
        <v>754959020.66348755</v>
      </c>
      <c r="I27" s="53" t="s">
        <v>156</v>
      </c>
      <c r="J27" s="53"/>
      <c r="K27" s="53"/>
      <c r="L27" s="53"/>
      <c r="M27" s="53"/>
      <c r="N27" s="53"/>
      <c r="O27" s="53"/>
    </row>
    <row r="28" spans="2:15" x14ac:dyDescent="0.25">
      <c r="B28" s="22" t="s">
        <v>150</v>
      </c>
      <c r="C28" s="1">
        <v>0.2590732348052594</v>
      </c>
      <c r="D28" s="1">
        <v>2429943.1253678259</v>
      </c>
    </row>
    <row r="29" spans="2:15" x14ac:dyDescent="0.25">
      <c r="B29" s="22" t="s">
        <v>149</v>
      </c>
      <c r="C29" s="1">
        <v>2.0979663333163527</v>
      </c>
      <c r="D29" s="1">
        <v>6</v>
      </c>
    </row>
    <row r="30" spans="2:15" x14ac:dyDescent="0.25">
      <c r="B30" s="22" t="s">
        <v>151</v>
      </c>
      <c r="C30" s="1">
        <v>12387701508017.359</v>
      </c>
      <c r="D30" s="1">
        <v>35427741555134.141</v>
      </c>
    </row>
    <row r="33" spans="2:8" x14ac:dyDescent="0.25">
      <c r="B33" s="22" t="s">
        <v>153</v>
      </c>
    </row>
    <row r="35" spans="2:8" x14ac:dyDescent="0.25">
      <c r="C35" s="49" t="s">
        <v>154</v>
      </c>
      <c r="D35" s="49"/>
      <c r="E35" s="49"/>
    </row>
    <row r="36" spans="2:8" ht="15.75" x14ac:dyDescent="0.25">
      <c r="C36" s="53" t="s">
        <v>152</v>
      </c>
      <c r="D36" s="53"/>
      <c r="E36" s="53"/>
    </row>
    <row r="37" spans="2:8" ht="15.75" x14ac:dyDescent="0.25">
      <c r="C37" s="54" t="s">
        <v>155</v>
      </c>
      <c r="D37" s="55"/>
      <c r="E37" s="56"/>
    </row>
    <row r="39" spans="2:8" x14ac:dyDescent="0.25">
      <c r="B39" t="s">
        <v>170</v>
      </c>
    </row>
    <row r="45" spans="2:8" ht="15.75" x14ac:dyDescent="0.25">
      <c r="C45" s="53" t="s">
        <v>157</v>
      </c>
      <c r="D45" s="53"/>
      <c r="E45" s="53"/>
      <c r="F45" s="53"/>
      <c r="G45" s="53"/>
      <c r="H45" s="53"/>
    </row>
    <row r="63" spans="3:3" x14ac:dyDescent="0.25">
      <c r="C63" t="s">
        <v>158</v>
      </c>
    </row>
    <row r="66" spans="3:7" x14ac:dyDescent="0.25">
      <c r="C66" t="s">
        <v>160</v>
      </c>
    </row>
    <row r="67" spans="3:7" x14ac:dyDescent="0.25">
      <c r="C67" s="49" t="s">
        <v>159</v>
      </c>
      <c r="D67" s="49"/>
      <c r="E67" s="49"/>
      <c r="F67" s="49"/>
      <c r="G67">
        <f>C26*2019+D26</f>
        <v>306126.28571438789</v>
      </c>
    </row>
  </sheetData>
  <mergeCells count="6">
    <mergeCell ref="I27:O27"/>
    <mergeCell ref="C45:H45"/>
    <mergeCell ref="C67:F67"/>
    <mergeCell ref="C36:E36"/>
    <mergeCell ref="C37:E37"/>
    <mergeCell ref="C35:E35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62"/>
  <sheetViews>
    <sheetView zoomScaleNormal="100" workbookViewId="0">
      <selection activeCell="C13" sqref="C13"/>
    </sheetView>
  </sheetViews>
  <sheetFormatPr defaultRowHeight="15" x14ac:dyDescent="0.25"/>
  <cols>
    <col min="2" max="2" width="13.85546875" customWidth="1"/>
    <col min="3" max="3" width="12" bestFit="1" customWidth="1"/>
    <col min="4" max="4" width="12.140625" bestFit="1" customWidth="1"/>
    <col min="5" max="6" width="17.7109375" customWidth="1"/>
    <col min="7" max="7" width="10.5703125" bestFit="1" customWidth="1"/>
    <col min="8" max="9" width="9.28515625" bestFit="1" customWidth="1"/>
    <col min="10" max="10" width="11.140625" customWidth="1"/>
    <col min="11" max="12" width="9.28515625" bestFit="1" customWidth="1"/>
  </cols>
  <sheetData>
    <row r="1" spans="1:6" x14ac:dyDescent="0.25">
      <c r="A1" t="s">
        <v>19</v>
      </c>
      <c r="C1" t="s">
        <v>93</v>
      </c>
    </row>
    <row r="2" spans="1:6" x14ac:dyDescent="0.25">
      <c r="A2" s="7">
        <v>0</v>
      </c>
    </row>
    <row r="3" spans="1:6" x14ac:dyDescent="0.25">
      <c r="C3" t="s">
        <v>111</v>
      </c>
    </row>
    <row r="5" spans="1:6" x14ac:dyDescent="0.25">
      <c r="C5" t="s">
        <v>108</v>
      </c>
    </row>
    <row r="7" spans="1:6" x14ac:dyDescent="0.25">
      <c r="C7" s="8" t="s">
        <v>109</v>
      </c>
      <c r="D7" s="1"/>
      <c r="E7" s="1"/>
    </row>
    <row r="8" spans="1:6" x14ac:dyDescent="0.25">
      <c r="C8" s="8"/>
      <c r="D8" s="1"/>
      <c r="E8" s="1"/>
    </row>
    <row r="9" spans="1:6" x14ac:dyDescent="0.25">
      <c r="C9" s="8" t="s">
        <v>110</v>
      </c>
      <c r="D9" s="1"/>
      <c r="E9" s="1"/>
    </row>
    <row r="10" spans="1:6" x14ac:dyDescent="0.25">
      <c r="C10" s="1"/>
      <c r="D10" s="1"/>
      <c r="E10" s="1"/>
    </row>
    <row r="11" spans="1:6" x14ac:dyDescent="0.25">
      <c r="C11" s="1"/>
      <c r="D11" s="1"/>
      <c r="E11" s="1"/>
    </row>
    <row r="12" spans="1:6" x14ac:dyDescent="0.25">
      <c r="C12" s="21" t="s">
        <v>163</v>
      </c>
      <c r="D12" s="21" t="s">
        <v>164</v>
      </c>
      <c r="E12" s="21" t="s">
        <v>165</v>
      </c>
      <c r="F12" s="21" t="s">
        <v>166</v>
      </c>
    </row>
    <row r="13" spans="1:6" x14ac:dyDescent="0.25">
      <c r="B13" t="s">
        <v>147</v>
      </c>
      <c r="C13" s="1">
        <f t="array" ref="C13:F17">LINEST(PivotPom!B29:B36,PivotPom!C29:E36,TRUE,TRUE)</f>
        <v>-20.43702711993263</v>
      </c>
      <c r="D13" s="1">
        <v>-79.55658888818374</v>
      </c>
      <c r="E13" s="1">
        <v>4.3728054944180581</v>
      </c>
      <c r="F13">
        <v>29285478.781343989</v>
      </c>
    </row>
    <row r="14" spans="1:6" x14ac:dyDescent="0.25">
      <c r="B14" t="s">
        <v>148</v>
      </c>
      <c r="C14">
        <v>45.592116934865274</v>
      </c>
      <c r="D14">
        <v>30.911962789510746</v>
      </c>
      <c r="E14">
        <v>6.9537471540761118</v>
      </c>
      <c r="F14">
        <v>12911825.156906558</v>
      </c>
    </row>
    <row r="15" spans="1:6" x14ac:dyDescent="0.25">
      <c r="B15" t="s">
        <v>150</v>
      </c>
      <c r="C15">
        <v>0.80513977563476258</v>
      </c>
      <c r="D15">
        <v>5401348.1494857855</v>
      </c>
      <c r="E15" t="e">
        <v>#N/A</v>
      </c>
      <c r="F15" t="e">
        <v>#N/A</v>
      </c>
    </row>
    <row r="16" spans="1:6" x14ac:dyDescent="0.25">
      <c r="B16" t="s">
        <v>149</v>
      </c>
      <c r="C16">
        <v>5.5091782037271608</v>
      </c>
      <c r="D16">
        <v>4</v>
      </c>
      <c r="E16" t="e">
        <v>#N/A</v>
      </c>
      <c r="F16" t="e">
        <v>#N/A</v>
      </c>
    </row>
    <row r="17" spans="2:15" x14ac:dyDescent="0.25">
      <c r="B17" t="s">
        <v>162</v>
      </c>
      <c r="C17">
        <v>482183580443665.94</v>
      </c>
      <c r="D17">
        <v>116698247327814.06</v>
      </c>
      <c r="E17" t="e">
        <v>#N/A</v>
      </c>
      <c r="F17" t="e">
        <v>#N/A</v>
      </c>
    </row>
    <row r="20" spans="2:15" x14ac:dyDescent="0.25">
      <c r="B20" t="s">
        <v>168</v>
      </c>
    </row>
    <row r="21" spans="2:15" x14ac:dyDescent="0.25">
      <c r="C21" s="47"/>
      <c r="D21" s="47"/>
      <c r="E21" s="47"/>
    </row>
    <row r="22" spans="2:15" x14ac:dyDescent="0.25">
      <c r="C22" s="60" t="s">
        <v>167</v>
      </c>
      <c r="D22" s="61"/>
      <c r="E22" s="61"/>
      <c r="F22" s="62"/>
    </row>
    <row r="23" spans="2:15" ht="15.75" x14ac:dyDescent="0.25">
      <c r="C23" s="57" t="s">
        <v>169</v>
      </c>
      <c r="D23" s="58"/>
      <c r="E23" s="58"/>
      <c r="F23" s="59"/>
    </row>
    <row r="25" spans="2:15" x14ac:dyDescent="0.25">
      <c r="B25" s="22" t="s">
        <v>171</v>
      </c>
      <c r="C25" t="s">
        <v>172</v>
      </c>
    </row>
    <row r="26" spans="2:15" x14ac:dyDescent="0.25">
      <c r="C26" t="s">
        <v>173</v>
      </c>
    </row>
    <row r="27" spans="2:15" x14ac:dyDescent="0.25">
      <c r="C27" t="s">
        <v>174</v>
      </c>
    </row>
    <row r="30" spans="2:15" x14ac:dyDescent="0.25">
      <c r="C30" s="47" t="s">
        <v>181</v>
      </c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22">
        <f>_xlfn.T.INV.2T(0.05,D16)</f>
        <v>2.7764451051977934</v>
      </c>
    </row>
    <row r="32" spans="2:15" ht="15.75" customHeight="1" x14ac:dyDescent="0.25">
      <c r="C32" s="63" t="s">
        <v>175</v>
      </c>
      <c r="D32" s="64"/>
      <c r="E32" s="64"/>
      <c r="F32" s="64"/>
      <c r="G32" s="64"/>
      <c r="H32" s="64"/>
      <c r="I32" s="64"/>
      <c r="J32" s="65"/>
    </row>
    <row r="33" spans="3:10" x14ac:dyDescent="0.25">
      <c r="C33" s="66"/>
      <c r="D33" s="67"/>
      <c r="E33" s="67"/>
      <c r="F33" s="67"/>
      <c r="G33" s="67"/>
      <c r="H33" s="67"/>
      <c r="I33" s="67"/>
      <c r="J33" s="68"/>
    </row>
    <row r="34" spans="3:10" x14ac:dyDescent="0.25">
      <c r="C34" s="31" t="s">
        <v>176</v>
      </c>
      <c r="D34" s="19">
        <v>-20.440000000000001</v>
      </c>
      <c r="E34" s="19" t="s">
        <v>177</v>
      </c>
      <c r="F34" s="19">
        <v>79.55</v>
      </c>
      <c r="G34" s="19" t="s">
        <v>178</v>
      </c>
      <c r="H34" s="19">
        <v>4.4000000000000004</v>
      </c>
      <c r="I34" s="19" t="s">
        <v>179</v>
      </c>
      <c r="J34" s="32">
        <f>29285478.8</f>
        <v>29285478.800000001</v>
      </c>
    </row>
    <row r="35" spans="3:10" x14ac:dyDescent="0.25">
      <c r="C35" s="33" t="s">
        <v>180</v>
      </c>
      <c r="D35" s="34">
        <f>O30*C14</f>
        <v>126.58400989941211</v>
      </c>
      <c r="E35" s="35" t="s">
        <v>180</v>
      </c>
      <c r="F35" s="34">
        <f>O30*D14</f>
        <v>85.825367778993439</v>
      </c>
      <c r="G35" s="35" t="s">
        <v>180</v>
      </c>
      <c r="H35" s="34">
        <f>O30*E14</f>
        <v>19.306697248717708</v>
      </c>
      <c r="I35" s="35" t="s">
        <v>180</v>
      </c>
      <c r="J35" s="36">
        <f>O30*F14</f>
        <v>35848973.756062947</v>
      </c>
    </row>
    <row r="39" spans="3:10" ht="15.75" x14ac:dyDescent="0.25">
      <c r="C39" s="53" t="s">
        <v>182</v>
      </c>
      <c r="D39" s="53"/>
      <c r="E39" s="53"/>
    </row>
    <row r="41" spans="3:10" x14ac:dyDescent="0.25">
      <c r="C41" t="s">
        <v>188</v>
      </c>
    </row>
    <row r="43" spans="3:10" x14ac:dyDescent="0.25">
      <c r="C43" t="s">
        <v>183</v>
      </c>
      <c r="D43">
        <f>C16</f>
        <v>5.5091782037271608</v>
      </c>
    </row>
    <row r="44" spans="3:10" x14ac:dyDescent="0.25">
      <c r="C44" t="s">
        <v>184</v>
      </c>
      <c r="D44">
        <f>COUNT(PivotPom!B29:B36)-Zad5!D16-1</f>
        <v>3</v>
      </c>
    </row>
    <row r="45" spans="3:10" x14ac:dyDescent="0.25">
      <c r="C45" t="s">
        <v>185</v>
      </c>
      <c r="D45">
        <f>D16</f>
        <v>4</v>
      </c>
    </row>
    <row r="47" spans="3:10" x14ac:dyDescent="0.25">
      <c r="C47" t="s">
        <v>186</v>
      </c>
      <c r="D47">
        <f>_xlfn.F.INV.RT(0.05,D44,D45)</f>
        <v>6.5913821164255788</v>
      </c>
    </row>
    <row r="49" spans="3:7" x14ac:dyDescent="0.25">
      <c r="C49" t="s">
        <v>187</v>
      </c>
    </row>
    <row r="53" spans="3:7" ht="15.75" x14ac:dyDescent="0.25">
      <c r="C53" s="53" t="s">
        <v>189</v>
      </c>
      <c r="D53" s="53"/>
      <c r="E53" s="53"/>
    </row>
    <row r="55" spans="3:7" x14ac:dyDescent="0.25">
      <c r="C55" t="s">
        <v>190</v>
      </c>
    </row>
    <row r="57" spans="3:7" x14ac:dyDescent="0.25">
      <c r="D57" s="21" t="s">
        <v>163</v>
      </c>
      <c r="E57" s="21" t="s">
        <v>164</v>
      </c>
      <c r="F57" s="21" t="s">
        <v>165</v>
      </c>
      <c r="G57" s="21" t="s">
        <v>166</v>
      </c>
    </row>
    <row r="58" spans="3:7" x14ac:dyDescent="0.25">
      <c r="C58" t="s">
        <v>192</v>
      </c>
      <c r="D58" s="19">
        <f>C13/C14</f>
        <v>-0.44825791154049255</v>
      </c>
      <c r="E58" s="19">
        <f t="shared" ref="E58:G58" si="0">D13/D14</f>
        <v>-2.5736505129069132</v>
      </c>
      <c r="F58" s="19">
        <f t="shared" si="0"/>
        <v>0.6288416011581367</v>
      </c>
      <c r="G58" s="19">
        <f t="shared" si="0"/>
        <v>2.2681130224009527</v>
      </c>
    </row>
    <row r="59" spans="3:7" ht="15.75" thickBot="1" x14ac:dyDescent="0.3">
      <c r="C59" t="s">
        <v>191</v>
      </c>
      <c r="D59" s="37">
        <f>_xlfn.T.INV.2T(0.05,$D$16)</f>
        <v>2.7764451051977934</v>
      </c>
      <c r="E59" s="37">
        <f t="shared" ref="E59:G59" si="1">_xlfn.T.INV.2T(0.05,$D$16)</f>
        <v>2.7764451051977934</v>
      </c>
      <c r="F59" s="37">
        <f t="shared" si="1"/>
        <v>2.7764451051977934</v>
      </c>
      <c r="G59" s="37">
        <f t="shared" si="1"/>
        <v>2.7764451051977934</v>
      </c>
    </row>
    <row r="60" spans="3:7" x14ac:dyDescent="0.25">
      <c r="D60" s="21" t="s">
        <v>193</v>
      </c>
      <c r="E60" s="21" t="s">
        <v>193</v>
      </c>
      <c r="F60" s="21" t="s">
        <v>193</v>
      </c>
      <c r="G60" s="21" t="s">
        <v>193</v>
      </c>
    </row>
    <row r="62" spans="3:7" x14ac:dyDescent="0.25">
      <c r="C62" t="s">
        <v>194</v>
      </c>
    </row>
  </sheetData>
  <mergeCells count="7">
    <mergeCell ref="C39:E39"/>
    <mergeCell ref="C53:E53"/>
    <mergeCell ref="C21:E21"/>
    <mergeCell ref="C23:F23"/>
    <mergeCell ref="C22:F22"/>
    <mergeCell ref="C32:J33"/>
    <mergeCell ref="C30:N30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3"/>
  <sheetViews>
    <sheetView workbookViewId="0">
      <selection activeCell="I42" sqref="I42"/>
    </sheetView>
  </sheetViews>
  <sheetFormatPr defaultRowHeight="15" x14ac:dyDescent="0.25"/>
  <cols>
    <col min="3" max="3" width="18" bestFit="1" customWidth="1"/>
    <col min="4" max="4" width="16.28515625" bestFit="1" customWidth="1"/>
    <col min="5" max="5" width="10" bestFit="1" customWidth="1"/>
    <col min="6" max="7" width="11.28515625" bestFit="1" customWidth="1"/>
    <col min="8" max="8" width="9" bestFit="1" customWidth="1"/>
    <col min="9" max="9" width="12.85546875" bestFit="1" customWidth="1"/>
    <col min="10" max="10" width="9.42578125" bestFit="1" customWidth="1"/>
    <col min="11" max="11" width="9" bestFit="1" customWidth="1"/>
    <col min="12" max="12" width="12.42578125" bestFit="1" customWidth="1"/>
    <col min="13" max="14" width="9" bestFit="1" customWidth="1"/>
    <col min="15" max="15" width="12" bestFit="1" customWidth="1"/>
    <col min="16" max="16" width="9" bestFit="1" customWidth="1"/>
    <col min="17" max="17" width="8" bestFit="1" customWidth="1"/>
    <col min="18" max="18" width="12" bestFit="1" customWidth="1"/>
    <col min="19" max="19" width="8.7109375" bestFit="1" customWidth="1"/>
    <col min="20" max="20" width="8" bestFit="1" customWidth="1"/>
    <col min="21" max="21" width="11.7109375" bestFit="1" customWidth="1"/>
    <col min="22" max="23" width="9" bestFit="1" customWidth="1"/>
    <col min="24" max="24" width="11.85546875" bestFit="1" customWidth="1"/>
    <col min="25" max="25" width="9.85546875" bestFit="1" customWidth="1"/>
    <col min="26" max="26" width="8" bestFit="1" customWidth="1"/>
    <col min="27" max="27" width="12.85546875" bestFit="1" customWidth="1"/>
    <col min="28" max="28" width="9" bestFit="1" customWidth="1"/>
    <col min="29" max="29" width="8" bestFit="1" customWidth="1"/>
    <col min="30" max="30" width="10.7109375" bestFit="1" customWidth="1"/>
    <col min="31" max="31" width="14.28515625" bestFit="1" customWidth="1"/>
    <col min="32" max="32" width="7" bestFit="1" customWidth="1"/>
    <col min="33" max="33" width="17.5703125" bestFit="1" customWidth="1"/>
    <col min="34" max="34" width="9.42578125" bestFit="1" customWidth="1"/>
    <col min="35" max="35" width="8" bestFit="1" customWidth="1"/>
    <col min="36" max="36" width="12.42578125" bestFit="1" customWidth="1"/>
    <col min="38" max="38" width="12.140625" bestFit="1" customWidth="1"/>
    <col min="39" max="39" width="11.28515625" bestFit="1" customWidth="1"/>
  </cols>
  <sheetData>
    <row r="1" spans="1:6" x14ac:dyDescent="0.25">
      <c r="A1" t="s">
        <v>20</v>
      </c>
      <c r="C1" t="s">
        <v>71</v>
      </c>
    </row>
    <row r="2" spans="1:6" x14ac:dyDescent="0.25">
      <c r="A2" s="7">
        <v>0</v>
      </c>
    </row>
    <row r="3" spans="1:6" x14ac:dyDescent="0.25">
      <c r="C3" t="s">
        <v>30</v>
      </c>
    </row>
    <row r="5" spans="1:6" x14ac:dyDescent="0.25">
      <c r="C5" t="s">
        <v>72</v>
      </c>
    </row>
    <row r="6" spans="1:6" x14ac:dyDescent="0.25">
      <c r="C6" t="s">
        <v>73</v>
      </c>
    </row>
    <row r="9" spans="1:6" x14ac:dyDescent="0.25">
      <c r="C9" s="15" t="s">
        <v>92</v>
      </c>
      <c r="D9" s="15" t="s">
        <v>87</v>
      </c>
    </row>
    <row r="10" spans="1:6" x14ac:dyDescent="0.25">
      <c r="C10" s="15" t="s">
        <v>90</v>
      </c>
      <c r="D10" t="s">
        <v>59</v>
      </c>
      <c r="E10" t="s">
        <v>70</v>
      </c>
      <c r="F10" t="s">
        <v>89</v>
      </c>
    </row>
    <row r="11" spans="1:6" x14ac:dyDescent="0.25">
      <c r="C11" s="8" t="s">
        <v>58</v>
      </c>
      <c r="D11" s="16">
        <v>688525</v>
      </c>
      <c r="E11" s="16">
        <v>27982507</v>
      </c>
      <c r="F11" s="16">
        <v>28671032</v>
      </c>
    </row>
    <row r="12" spans="1:6" x14ac:dyDescent="0.25">
      <c r="C12" s="8" t="s">
        <v>66</v>
      </c>
      <c r="D12" s="16">
        <v>5438528</v>
      </c>
      <c r="E12" s="16">
        <v>18678593</v>
      </c>
      <c r="F12" s="16">
        <v>24117121</v>
      </c>
    </row>
    <row r="13" spans="1:6" x14ac:dyDescent="0.25">
      <c r="C13" s="8" t="s">
        <v>65</v>
      </c>
      <c r="D13" s="16">
        <v>5961166</v>
      </c>
      <c r="E13" s="16">
        <v>29263421</v>
      </c>
      <c r="F13" s="16">
        <v>35224587</v>
      </c>
    </row>
    <row r="14" spans="1:6" x14ac:dyDescent="0.25">
      <c r="C14" s="8" t="s">
        <v>60</v>
      </c>
      <c r="D14" s="16">
        <v>44159147</v>
      </c>
      <c r="E14" s="16">
        <v>65606037</v>
      </c>
      <c r="F14" s="16">
        <v>109765184</v>
      </c>
    </row>
    <row r="15" spans="1:6" x14ac:dyDescent="0.25">
      <c r="C15" s="8" t="s">
        <v>67</v>
      </c>
      <c r="D15" s="16">
        <v>1055226</v>
      </c>
      <c r="E15" s="16">
        <v>2174051</v>
      </c>
      <c r="F15" s="16">
        <v>3229277</v>
      </c>
    </row>
    <row r="16" spans="1:6" x14ac:dyDescent="0.25">
      <c r="C16" s="8" t="s">
        <v>61</v>
      </c>
      <c r="D16" s="16">
        <v>138014</v>
      </c>
      <c r="E16" s="16">
        <v>3254847</v>
      </c>
      <c r="F16" s="16">
        <v>3392861</v>
      </c>
    </row>
    <row r="17" spans="3:6" x14ac:dyDescent="0.25">
      <c r="C17" s="8" t="s">
        <v>64</v>
      </c>
      <c r="D17" s="16">
        <v>36127736</v>
      </c>
      <c r="E17" s="16">
        <v>28574758</v>
      </c>
      <c r="F17" s="16">
        <v>64702494</v>
      </c>
    </row>
    <row r="18" spans="3:6" x14ac:dyDescent="0.25">
      <c r="C18" s="8" t="s">
        <v>69</v>
      </c>
      <c r="D18" s="16">
        <v>1383107</v>
      </c>
      <c r="E18" s="16">
        <v>7017789</v>
      </c>
      <c r="F18" s="16">
        <v>8400896</v>
      </c>
    </row>
    <row r="19" spans="3:6" x14ac:dyDescent="0.25">
      <c r="C19" s="8" t="s">
        <v>62</v>
      </c>
      <c r="D19" s="16">
        <v>36020194</v>
      </c>
      <c r="E19" s="16">
        <v>5559326</v>
      </c>
      <c r="F19" s="16">
        <v>41579520</v>
      </c>
    </row>
    <row r="20" spans="3:6" x14ac:dyDescent="0.25">
      <c r="C20" s="8" t="s">
        <v>68</v>
      </c>
      <c r="D20" s="16">
        <v>6564766</v>
      </c>
      <c r="E20" s="16">
        <v>141187</v>
      </c>
      <c r="F20" s="16">
        <v>6705953</v>
      </c>
    </row>
    <row r="21" spans="3:6" x14ac:dyDescent="0.25">
      <c r="C21" s="8" t="s">
        <v>63</v>
      </c>
      <c r="D21" s="16">
        <v>1347187</v>
      </c>
      <c r="E21" s="16">
        <v>2889274</v>
      </c>
      <c r="F21" s="16">
        <v>4236461</v>
      </c>
    </row>
    <row r="22" spans="3:6" x14ac:dyDescent="0.25">
      <c r="C22" s="8" t="s">
        <v>89</v>
      </c>
      <c r="D22" s="16">
        <v>138883596</v>
      </c>
      <c r="E22" s="16">
        <v>191141790</v>
      </c>
      <c r="F22" s="16">
        <v>330025386</v>
      </c>
    </row>
    <row r="27" spans="3:6" x14ac:dyDescent="0.25">
      <c r="C27" s="15" t="s">
        <v>112</v>
      </c>
      <c r="D27" s="15" t="s">
        <v>87</v>
      </c>
    </row>
    <row r="28" spans="3:6" x14ac:dyDescent="0.25">
      <c r="C28" s="15" t="s">
        <v>90</v>
      </c>
      <c r="D28" t="s">
        <v>59</v>
      </c>
      <c r="E28" t="s">
        <v>70</v>
      </c>
      <c r="F28" t="s">
        <v>89</v>
      </c>
    </row>
    <row r="29" spans="3:6" x14ac:dyDescent="0.25">
      <c r="C29" s="8">
        <v>2012</v>
      </c>
      <c r="D29" s="16">
        <v>870141.54545454541</v>
      </c>
      <c r="E29" s="16">
        <v>2054618</v>
      </c>
      <c r="F29" s="16">
        <v>1462379.7727272727</v>
      </c>
    </row>
    <row r="30" spans="3:6" x14ac:dyDescent="0.25">
      <c r="C30" s="17" t="s">
        <v>58</v>
      </c>
      <c r="D30" s="16">
        <v>135629</v>
      </c>
      <c r="E30" s="16">
        <v>3259894</v>
      </c>
      <c r="F30" s="16">
        <v>1697761.5</v>
      </c>
    </row>
    <row r="31" spans="3:6" x14ac:dyDescent="0.25">
      <c r="C31" s="17" t="s">
        <v>66</v>
      </c>
      <c r="D31" s="16">
        <v>580647</v>
      </c>
      <c r="E31" s="16">
        <v>2372469</v>
      </c>
      <c r="F31" s="16">
        <v>1476558</v>
      </c>
    </row>
    <row r="32" spans="3:6" x14ac:dyDescent="0.25">
      <c r="C32" s="17" t="s">
        <v>65</v>
      </c>
      <c r="D32" s="16">
        <v>697603</v>
      </c>
      <c r="E32" s="16">
        <v>4000308</v>
      </c>
      <c r="F32" s="16">
        <v>2348955.5</v>
      </c>
    </row>
    <row r="33" spans="3:6" x14ac:dyDescent="0.25">
      <c r="C33" s="17" t="s">
        <v>60</v>
      </c>
      <c r="D33" s="16">
        <v>1874931</v>
      </c>
      <c r="E33" s="16">
        <v>9188427</v>
      </c>
      <c r="F33" s="16">
        <v>5531679</v>
      </c>
    </row>
    <row r="34" spans="3:6" x14ac:dyDescent="0.25">
      <c r="C34" s="17" t="s">
        <v>67</v>
      </c>
      <c r="D34" s="16">
        <v>134958</v>
      </c>
      <c r="E34" s="16">
        <v>251699</v>
      </c>
      <c r="F34" s="16">
        <v>193328.5</v>
      </c>
    </row>
    <row r="35" spans="3:6" x14ac:dyDescent="0.25">
      <c r="C35" s="17" t="s">
        <v>61</v>
      </c>
      <c r="D35" s="16">
        <v>31623</v>
      </c>
      <c r="E35" s="16">
        <v>278945</v>
      </c>
      <c r="F35" s="16">
        <v>155284</v>
      </c>
    </row>
    <row r="36" spans="3:6" x14ac:dyDescent="0.25">
      <c r="C36" s="17" t="s">
        <v>64</v>
      </c>
      <c r="D36" s="16">
        <v>648948</v>
      </c>
      <c r="E36" s="16">
        <v>1628625</v>
      </c>
      <c r="F36" s="16">
        <v>1138786.5</v>
      </c>
    </row>
    <row r="37" spans="3:6" x14ac:dyDescent="0.25">
      <c r="C37" s="17" t="s">
        <v>69</v>
      </c>
      <c r="D37" s="16">
        <v>223646</v>
      </c>
      <c r="E37" s="16">
        <v>675989</v>
      </c>
      <c r="F37" s="16">
        <v>449817.5</v>
      </c>
    </row>
    <row r="38" spans="3:6" x14ac:dyDescent="0.25">
      <c r="C38" s="17" t="s">
        <v>62</v>
      </c>
      <c r="D38" s="16">
        <v>4154735</v>
      </c>
      <c r="E38" s="16">
        <v>804590</v>
      </c>
      <c r="F38" s="16">
        <v>2479662.5</v>
      </c>
    </row>
    <row r="39" spans="3:6" x14ac:dyDescent="0.25">
      <c r="C39" s="17" t="s">
        <v>68</v>
      </c>
      <c r="D39" s="16">
        <v>740466</v>
      </c>
      <c r="E39" s="16">
        <v>8691</v>
      </c>
      <c r="F39" s="16">
        <v>374578.5</v>
      </c>
    </row>
    <row r="40" spans="3:6" x14ac:dyDescent="0.25">
      <c r="C40" s="17" t="s">
        <v>63</v>
      </c>
      <c r="D40" s="16">
        <v>348371</v>
      </c>
      <c r="E40" s="16">
        <v>131161</v>
      </c>
      <c r="F40" s="16">
        <v>239766</v>
      </c>
    </row>
    <row r="41" spans="3:6" x14ac:dyDescent="0.25">
      <c r="C41" s="8">
        <v>2015</v>
      </c>
      <c r="D41" s="16">
        <v>1833806.5454545454</v>
      </c>
      <c r="E41" s="16">
        <v>2258026.7272727271</v>
      </c>
      <c r="F41" s="16">
        <v>2045916.6363636365</v>
      </c>
    </row>
    <row r="42" spans="3:6" x14ac:dyDescent="0.25">
      <c r="C42" s="17" t="s">
        <v>58</v>
      </c>
      <c r="D42" s="16">
        <v>110572</v>
      </c>
      <c r="E42" s="16">
        <v>3389994</v>
      </c>
      <c r="F42" s="16">
        <v>1750283</v>
      </c>
    </row>
    <row r="43" spans="3:6" x14ac:dyDescent="0.25">
      <c r="C43" s="17" t="s">
        <v>66</v>
      </c>
      <c r="D43" s="16">
        <v>486675</v>
      </c>
      <c r="E43" s="16">
        <v>1902943</v>
      </c>
      <c r="F43" s="16">
        <v>1194809</v>
      </c>
    </row>
    <row r="44" spans="3:6" x14ac:dyDescent="0.25">
      <c r="C44" s="17" t="s">
        <v>65</v>
      </c>
      <c r="D44" s="16">
        <v>873771</v>
      </c>
      <c r="E44" s="16">
        <v>3133948</v>
      </c>
      <c r="F44" s="16">
        <v>2003859.5</v>
      </c>
    </row>
    <row r="45" spans="3:6" x14ac:dyDescent="0.25">
      <c r="C45" s="17" t="s">
        <v>60</v>
      </c>
      <c r="D45" s="16">
        <v>8264225</v>
      </c>
      <c r="E45" s="16">
        <v>9374226</v>
      </c>
      <c r="F45" s="16">
        <v>8819225.5</v>
      </c>
    </row>
    <row r="46" spans="3:6" x14ac:dyDescent="0.25">
      <c r="C46" s="17" t="s">
        <v>67</v>
      </c>
      <c r="D46" s="16">
        <v>60061</v>
      </c>
      <c r="E46" s="16">
        <v>277337</v>
      </c>
      <c r="F46" s="16">
        <v>168699</v>
      </c>
    </row>
    <row r="47" spans="3:6" x14ac:dyDescent="0.25">
      <c r="C47" s="17" t="s">
        <v>61</v>
      </c>
      <c r="D47" s="16">
        <v>144</v>
      </c>
      <c r="E47" s="16">
        <v>380220</v>
      </c>
      <c r="F47" s="16">
        <v>190182</v>
      </c>
    </row>
    <row r="48" spans="3:6" x14ac:dyDescent="0.25">
      <c r="C48" s="17" t="s">
        <v>64</v>
      </c>
      <c r="D48" s="16">
        <v>6143048</v>
      </c>
      <c r="E48" s="16">
        <v>4768098</v>
      </c>
      <c r="F48" s="16">
        <v>5455573</v>
      </c>
    </row>
    <row r="49" spans="3:6" x14ac:dyDescent="0.25">
      <c r="C49" s="17" t="s">
        <v>69</v>
      </c>
      <c r="D49" s="16">
        <v>119994</v>
      </c>
      <c r="E49" s="16">
        <v>886423</v>
      </c>
      <c r="F49" s="16">
        <v>503208.5</v>
      </c>
    </row>
    <row r="50" spans="3:6" x14ac:dyDescent="0.25">
      <c r="C50" s="17" t="s">
        <v>62</v>
      </c>
      <c r="D50" s="16">
        <v>3254747</v>
      </c>
      <c r="E50" s="16">
        <v>442291</v>
      </c>
      <c r="F50" s="16">
        <v>1848519</v>
      </c>
    </row>
    <row r="51" spans="3:6" x14ac:dyDescent="0.25">
      <c r="C51" s="17" t="s">
        <v>68</v>
      </c>
      <c r="D51" s="16">
        <v>659560</v>
      </c>
      <c r="E51" s="16">
        <v>13642</v>
      </c>
      <c r="F51" s="16">
        <v>336601</v>
      </c>
    </row>
    <row r="52" spans="3:6" x14ac:dyDescent="0.25">
      <c r="C52" s="17" t="s">
        <v>63</v>
      </c>
      <c r="D52" s="16">
        <v>199075</v>
      </c>
      <c r="E52" s="16">
        <v>269172</v>
      </c>
      <c r="F52" s="16">
        <v>234123.5</v>
      </c>
    </row>
    <row r="53" spans="3:6" x14ac:dyDescent="0.25">
      <c r="C53" s="8" t="s">
        <v>89</v>
      </c>
      <c r="D53" s="16">
        <v>1351974.0454545454</v>
      </c>
      <c r="E53" s="16">
        <v>2156322.3636363638</v>
      </c>
      <c r="F53" s="16">
        <v>1754148.2045454546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B5EA2-2B20-4E69-ADBC-567B34C715B0}">
  <dimension ref="A1:J40"/>
  <sheetViews>
    <sheetView workbookViewId="0">
      <selection activeCell="E15" sqref="E15"/>
    </sheetView>
  </sheetViews>
  <sheetFormatPr defaultRowHeight="15" x14ac:dyDescent="0.25"/>
  <sheetData>
    <row r="1" spans="1:10" x14ac:dyDescent="0.25">
      <c r="A1" t="s">
        <v>31</v>
      </c>
      <c r="C1" t="s">
        <v>97</v>
      </c>
    </row>
    <row r="2" spans="1:10" x14ac:dyDescent="0.25">
      <c r="A2" s="7">
        <v>0</v>
      </c>
    </row>
    <row r="3" spans="1:10" x14ac:dyDescent="0.25">
      <c r="C3" t="s">
        <v>74</v>
      </c>
    </row>
    <row r="4" spans="1:10" x14ac:dyDescent="0.25">
      <c r="C4" t="s">
        <v>75</v>
      </c>
    </row>
    <row r="5" spans="1:10" x14ac:dyDescent="0.25">
      <c r="C5" t="s">
        <v>76</v>
      </c>
    </row>
    <row r="6" spans="1:10" x14ac:dyDescent="0.25">
      <c r="C6" t="s">
        <v>77</v>
      </c>
    </row>
    <row r="8" spans="1:10" x14ac:dyDescent="0.25">
      <c r="C8" t="s">
        <v>32</v>
      </c>
    </row>
    <row r="10" spans="1:10" x14ac:dyDescent="0.25">
      <c r="C10" s="8" t="s">
        <v>95</v>
      </c>
    </row>
    <row r="13" spans="1:10" x14ac:dyDescent="0.25">
      <c r="C13" t="s">
        <v>74</v>
      </c>
    </row>
    <row r="15" spans="1:10" x14ac:dyDescent="0.25">
      <c r="C15" s="49" t="s">
        <v>195</v>
      </c>
      <c r="D15" s="49"/>
      <c r="E15" s="39">
        <f>50-(45/2)</f>
        <v>27.5</v>
      </c>
      <c r="G15" s="49" t="s">
        <v>199</v>
      </c>
      <c r="H15" s="49"/>
      <c r="I15" s="49"/>
      <c r="J15" s="39">
        <f>PERCENTILE(Podaci!F2:F177,0.275)</f>
        <v>0.47538899531966256</v>
      </c>
    </row>
    <row r="16" spans="1:10" x14ac:dyDescent="0.25">
      <c r="C16" s="49" t="s">
        <v>196</v>
      </c>
      <c r="D16" s="49"/>
      <c r="E16" s="39">
        <f>50+(45/2)</f>
        <v>72.5</v>
      </c>
      <c r="G16" s="49" t="s">
        <v>200</v>
      </c>
      <c r="H16" s="49"/>
      <c r="I16" s="49"/>
      <c r="J16" s="39">
        <f>PERCENTILE(Podaci!F2:F177,0.725)</f>
        <v>1.2340398019319032</v>
      </c>
    </row>
    <row r="18" spans="3:5" x14ac:dyDescent="0.25">
      <c r="C18" s="49" t="s">
        <v>171</v>
      </c>
      <c r="D18" s="49"/>
      <c r="E18" t="s">
        <v>197</v>
      </c>
    </row>
    <row r="19" spans="3:5" x14ac:dyDescent="0.25">
      <c r="E19" t="s">
        <v>198</v>
      </c>
    </row>
    <row r="23" spans="3:5" x14ac:dyDescent="0.25">
      <c r="C23" t="s">
        <v>75</v>
      </c>
    </row>
    <row r="24" spans="3:5" x14ac:dyDescent="0.25">
      <c r="C24" s="49" t="s">
        <v>201</v>
      </c>
      <c r="D24" s="49"/>
      <c r="E24" s="40">
        <f>PERCENTILE(Podaci!F2:F177,0.5)</f>
        <v>0.74939467044526864</v>
      </c>
    </row>
    <row r="26" spans="3:5" x14ac:dyDescent="0.25">
      <c r="C26" t="s">
        <v>202</v>
      </c>
    </row>
    <row r="30" spans="3:5" x14ac:dyDescent="0.25">
      <c r="C30" t="s">
        <v>76</v>
      </c>
    </row>
    <row r="31" spans="3:5" x14ac:dyDescent="0.25">
      <c r="C31" s="22" t="s">
        <v>203</v>
      </c>
      <c r="D31">
        <f>PERCENTILE(Podaci!F2:F177,0.09)</f>
        <v>0.24205889642021025</v>
      </c>
    </row>
    <row r="33" spans="3:4" x14ac:dyDescent="0.25">
      <c r="C33" t="s">
        <v>205</v>
      </c>
    </row>
    <row r="37" spans="3:4" x14ac:dyDescent="0.25">
      <c r="C37" t="s">
        <v>77</v>
      </c>
    </row>
    <row r="38" spans="3:4" x14ac:dyDescent="0.25">
      <c r="C38" s="22" t="s">
        <v>203</v>
      </c>
      <c r="D38">
        <f>PERCENTILE(Podaci!F2:F177,0.88)</f>
        <v>4.1023335492448778</v>
      </c>
    </row>
    <row r="40" spans="3:4" x14ac:dyDescent="0.25">
      <c r="C40" t="s">
        <v>204</v>
      </c>
    </row>
  </sheetData>
  <mergeCells count="6">
    <mergeCell ref="C24:D24"/>
    <mergeCell ref="C15:D15"/>
    <mergeCell ref="C16:D16"/>
    <mergeCell ref="C18:D18"/>
    <mergeCell ref="G15:I15"/>
    <mergeCell ref="G16:I16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676D0-9694-4D38-A85F-61BFF62F5FC2}">
  <dimension ref="A1:O25"/>
  <sheetViews>
    <sheetView topLeftCell="B1" workbookViewId="0">
      <selection activeCell="J9" sqref="J9"/>
    </sheetView>
  </sheetViews>
  <sheetFormatPr defaultRowHeight="15" x14ac:dyDescent="0.25"/>
  <cols>
    <col min="3" max="3" width="14.42578125" customWidth="1"/>
    <col min="5" max="5" width="11.5703125" customWidth="1"/>
    <col min="6" max="6" width="11.28515625" customWidth="1"/>
    <col min="8" max="8" width="11.7109375" customWidth="1"/>
  </cols>
  <sheetData>
    <row r="1" spans="1:14" x14ac:dyDescent="0.25">
      <c r="A1" t="s">
        <v>41</v>
      </c>
      <c r="C1" t="s">
        <v>85</v>
      </c>
    </row>
    <row r="2" spans="1:14" x14ac:dyDescent="0.25">
      <c r="A2" s="7">
        <v>0</v>
      </c>
      <c r="C2" t="s">
        <v>95</v>
      </c>
    </row>
    <row r="4" spans="1:14" x14ac:dyDescent="0.25">
      <c r="C4" t="s">
        <v>80</v>
      </c>
    </row>
    <row r="6" spans="1:14" x14ac:dyDescent="0.25">
      <c r="C6" s="69" t="s">
        <v>33</v>
      </c>
      <c r="D6" s="69"/>
      <c r="E6" s="69"/>
      <c r="F6" s="46">
        <f>G19/F19</f>
        <v>2.4882954545454545</v>
      </c>
    </row>
    <row r="7" spans="1:14" x14ac:dyDescent="0.25">
      <c r="C7" s="69" t="s">
        <v>34</v>
      </c>
      <c r="D7" s="69"/>
      <c r="E7" s="69"/>
      <c r="F7" s="46">
        <f>H19/F19</f>
        <v>3.3849970945247931</v>
      </c>
    </row>
    <row r="8" spans="1:14" x14ac:dyDescent="0.25">
      <c r="C8" s="69" t="s">
        <v>35</v>
      </c>
      <c r="D8" s="69"/>
      <c r="E8" s="69"/>
      <c r="F8" s="46">
        <f>SQRT(F7)</f>
        <v>1.839836159695964</v>
      </c>
    </row>
    <row r="9" spans="1:14" x14ac:dyDescent="0.25">
      <c r="C9" s="69" t="s">
        <v>36</v>
      </c>
      <c r="D9" s="69"/>
      <c r="E9" s="69"/>
      <c r="F9" s="46">
        <f>F8/F6</f>
        <v>0.73939618236856575</v>
      </c>
    </row>
    <row r="11" spans="1:14" x14ac:dyDescent="0.25">
      <c r="C11" t="s">
        <v>86</v>
      </c>
    </row>
    <row r="12" spans="1:14" ht="30" x14ac:dyDescent="0.25">
      <c r="C12" s="11" t="s">
        <v>79</v>
      </c>
      <c r="D12" s="11" t="s">
        <v>37</v>
      </c>
      <c r="E12" s="11" t="s">
        <v>38</v>
      </c>
      <c r="F12" s="11" t="s">
        <v>78</v>
      </c>
    </row>
    <row r="13" spans="1:14" ht="17.25" x14ac:dyDescent="0.25">
      <c r="D13" s="1" t="s">
        <v>39</v>
      </c>
      <c r="E13" s="1"/>
      <c r="F13" s="1" t="s">
        <v>40</v>
      </c>
      <c r="G13" s="39" t="s">
        <v>216</v>
      </c>
      <c r="H13" s="39" t="s">
        <v>217</v>
      </c>
    </row>
    <row r="14" spans="1:14" x14ac:dyDescent="0.25">
      <c r="C14" s="19" t="s">
        <v>210</v>
      </c>
      <c r="D14" s="19">
        <f>AVERAGE(0,3.74)</f>
        <v>1.87</v>
      </c>
      <c r="E14" s="19">
        <f>3.74</f>
        <v>3.74</v>
      </c>
      <c r="F14" s="19">
        <f t="array" ref="F14:F18">FREQUENCY(Podaci!F2:F177,E14:E18)</f>
        <v>153</v>
      </c>
      <c r="G14" s="19">
        <f>D14*F14</f>
        <v>286.11</v>
      </c>
      <c r="H14" s="44">
        <f>F14*POWER(D14-$F$6,2)</f>
        <v>58.49025817407022</v>
      </c>
      <c r="M14" s="22" t="s">
        <v>209</v>
      </c>
      <c r="N14" s="39">
        <f>COUNT(Podaci!F2:F177)</f>
        <v>176</v>
      </c>
    </row>
    <row r="15" spans="1:14" x14ac:dyDescent="0.25">
      <c r="C15" s="19" t="s">
        <v>212</v>
      </c>
      <c r="D15" s="19">
        <f>AVERAGE(3.75,7.49)</f>
        <v>5.62</v>
      </c>
      <c r="E15" s="19">
        <f>7.49</f>
        <v>7.49</v>
      </c>
      <c r="F15" s="19">
        <v>19</v>
      </c>
      <c r="G15" s="19">
        <f t="shared" ref="G15:G18" si="0">D15*F15</f>
        <v>106.78</v>
      </c>
      <c r="H15" s="44">
        <f t="shared" ref="H15:H18" si="1">F15*POWER(D15-$F$6,2)</f>
        <v>186.34389384039258</v>
      </c>
      <c r="M15" s="22" t="s">
        <v>206</v>
      </c>
      <c r="N15" s="26">
        <f>MIN(Podaci!F2:F177)</f>
        <v>0.16552437036552731</v>
      </c>
    </row>
    <row r="16" spans="1:14" x14ac:dyDescent="0.25">
      <c r="C16" s="19" t="s">
        <v>213</v>
      </c>
      <c r="D16" s="19">
        <f>AVERAGE(7.5,11.24)</f>
        <v>9.370000000000001</v>
      </c>
      <c r="E16" s="19">
        <f>11.24</f>
        <v>11.24</v>
      </c>
      <c r="F16" s="19">
        <v>3</v>
      </c>
      <c r="G16" s="19">
        <f t="shared" si="0"/>
        <v>28.110000000000003</v>
      </c>
      <c r="H16" s="44">
        <f t="shared" si="1"/>
        <v>142.07357235278928</v>
      </c>
      <c r="M16" s="22" t="s">
        <v>0</v>
      </c>
      <c r="N16" s="26">
        <f>MAX(Podaci!F2:F177)</f>
        <v>18.884057971014492</v>
      </c>
    </row>
    <row r="17" spans="3:15" x14ac:dyDescent="0.25">
      <c r="C17" s="19" t="s">
        <v>214</v>
      </c>
      <c r="D17" s="19">
        <f>AVERAGE(11.25,14.99)</f>
        <v>13.120000000000001</v>
      </c>
      <c r="E17" s="19">
        <f>14.99</f>
        <v>14.99</v>
      </c>
      <c r="F17" s="19">
        <v>0</v>
      </c>
      <c r="G17" s="19">
        <f t="shared" si="0"/>
        <v>0</v>
      </c>
      <c r="H17" s="44">
        <f t="shared" si="1"/>
        <v>0</v>
      </c>
      <c r="M17" s="22" t="s">
        <v>207</v>
      </c>
      <c r="N17" s="26">
        <f>N16-N15</f>
        <v>18.718533600648964</v>
      </c>
    </row>
    <row r="18" spans="3:15" x14ac:dyDescent="0.25">
      <c r="C18" s="41" t="s">
        <v>215</v>
      </c>
      <c r="D18" s="41">
        <f>AVERAGE(15,18.88)</f>
        <v>16.939999999999998</v>
      </c>
      <c r="E18" s="41">
        <f>18.89</f>
        <v>18.89</v>
      </c>
      <c r="F18" s="41">
        <v>1</v>
      </c>
      <c r="G18" s="41">
        <f t="shared" si="0"/>
        <v>16.939999999999998</v>
      </c>
      <c r="H18" s="45">
        <f t="shared" si="1"/>
        <v>208.8517642691115</v>
      </c>
      <c r="M18" s="22" t="s">
        <v>208</v>
      </c>
      <c r="N18" s="26">
        <f>N17/5</f>
        <v>3.7437067201297927</v>
      </c>
    </row>
    <row r="19" spans="3:15" x14ac:dyDescent="0.25">
      <c r="F19" s="38">
        <f>SUM(F14:F18)</f>
        <v>176</v>
      </c>
      <c r="G19" s="42">
        <f>SUM(G14:G18)</f>
        <v>437.94</v>
      </c>
      <c r="H19" s="43">
        <f>SUM(H14:H18)</f>
        <v>595.75948863636359</v>
      </c>
    </row>
    <row r="20" spans="3:15" x14ac:dyDescent="0.25">
      <c r="M20" s="49" t="s">
        <v>211</v>
      </c>
      <c r="N20" s="49"/>
      <c r="O20" s="49"/>
    </row>
    <row r="21" spans="3:15" x14ac:dyDescent="0.25">
      <c r="N21">
        <v>3.74</v>
      </c>
    </row>
    <row r="22" spans="3:15" x14ac:dyDescent="0.25">
      <c r="M22" s="70">
        <f>3.75+N18</f>
        <v>7.4937067201297927</v>
      </c>
      <c r="N22" s="47"/>
      <c r="O22" s="47"/>
    </row>
    <row r="23" spans="3:15" x14ac:dyDescent="0.25">
      <c r="M23" s="70">
        <f>7.5+N18</f>
        <v>11.243706720129794</v>
      </c>
      <c r="N23" s="70"/>
      <c r="O23" s="70"/>
    </row>
    <row r="24" spans="3:15" x14ac:dyDescent="0.25">
      <c r="M24" s="70">
        <f>11.25+N18</f>
        <v>14.993706720129794</v>
      </c>
      <c r="N24" s="70"/>
      <c r="O24" s="70"/>
    </row>
    <row r="25" spans="3:15" x14ac:dyDescent="0.25">
      <c r="M25" s="70">
        <f>15+N18</f>
        <v>18.743706720129794</v>
      </c>
      <c r="N25" s="70"/>
      <c r="O25" s="70"/>
    </row>
  </sheetData>
  <mergeCells count="9">
    <mergeCell ref="C6:E6"/>
    <mergeCell ref="C7:E7"/>
    <mergeCell ref="C8:E8"/>
    <mergeCell ref="C9:E9"/>
    <mergeCell ref="M25:O25"/>
    <mergeCell ref="M24:O24"/>
    <mergeCell ref="M23:O23"/>
    <mergeCell ref="M20:O20"/>
    <mergeCell ref="M22:O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8EBC8-E632-4B68-ADAA-4490BD8EFFD3}">
  <dimension ref="A1:E21"/>
  <sheetViews>
    <sheetView workbookViewId="0">
      <selection activeCell="D11" sqref="D11"/>
    </sheetView>
  </sheetViews>
  <sheetFormatPr defaultRowHeight="15" x14ac:dyDescent="0.25"/>
  <cols>
    <col min="4" max="4" width="10.28515625" bestFit="1" customWidth="1"/>
    <col min="5" max="5" width="12.7109375" bestFit="1" customWidth="1"/>
  </cols>
  <sheetData>
    <row r="1" spans="1:5" x14ac:dyDescent="0.25">
      <c r="A1" t="s">
        <v>44</v>
      </c>
      <c r="C1" t="s">
        <v>100</v>
      </c>
    </row>
    <row r="2" spans="1:5" x14ac:dyDescent="0.25">
      <c r="A2" s="7">
        <v>0</v>
      </c>
      <c r="C2" t="s">
        <v>101</v>
      </c>
    </row>
    <row r="3" spans="1:5" x14ac:dyDescent="0.25">
      <c r="C3" t="s">
        <v>95</v>
      </c>
    </row>
    <row r="5" spans="1:5" x14ac:dyDescent="0.25">
      <c r="D5" t="s">
        <v>48</v>
      </c>
      <c r="E5" t="s">
        <v>84</v>
      </c>
    </row>
    <row r="6" spans="1:5" x14ac:dyDescent="0.25">
      <c r="C6" s="2" t="s">
        <v>42</v>
      </c>
      <c r="D6" s="26">
        <f>AVERAGE(Podaci!F2:F177)</f>
        <v>1.4844312702458418</v>
      </c>
      <c r="E6" t="s">
        <v>218</v>
      </c>
    </row>
    <row r="7" spans="1:5" x14ac:dyDescent="0.25">
      <c r="C7" s="2" t="s">
        <v>43</v>
      </c>
      <c r="D7">
        <f>_xlfn.STDEV.P(Podaci!F2:F177)</f>
        <v>2.1527527070637871</v>
      </c>
      <c r="E7" t="s">
        <v>219</v>
      </c>
    </row>
    <row r="8" spans="1:5" x14ac:dyDescent="0.25">
      <c r="C8" s="2" t="s">
        <v>36</v>
      </c>
      <c r="D8">
        <f>_xlfn.VAR.P(Podaci!F2:F177)</f>
        <v>4.6343442177704626</v>
      </c>
      <c r="E8" t="s">
        <v>220</v>
      </c>
    </row>
    <row r="9" spans="1:5" x14ac:dyDescent="0.25">
      <c r="C9" s="2" t="s">
        <v>81</v>
      </c>
      <c r="D9">
        <f>SKEW(Podaci!F2:F177)</f>
        <v>4.2072250892225496</v>
      </c>
      <c r="E9" t="s">
        <v>222</v>
      </c>
    </row>
    <row r="10" spans="1:5" x14ac:dyDescent="0.25">
      <c r="C10" s="2" t="s">
        <v>82</v>
      </c>
      <c r="D10">
        <f>KURT(Podaci!F2:F177)</f>
        <v>25.657812836341478</v>
      </c>
      <c r="E10" t="s">
        <v>223</v>
      </c>
    </row>
    <row r="11" spans="1:5" x14ac:dyDescent="0.25">
      <c r="C11" s="2" t="s">
        <v>83</v>
      </c>
      <c r="D11">
        <f>CONFIDENCE(0.03,D7,COUNT(Podaci!F2:F177))</f>
        <v>0.35214022011950558</v>
      </c>
      <c r="E11" t="s">
        <v>221</v>
      </c>
    </row>
    <row r="12" spans="1:5" x14ac:dyDescent="0.25">
      <c r="C12" s="2"/>
    </row>
    <row r="13" spans="1:5" x14ac:dyDescent="0.25">
      <c r="C13" s="2"/>
    </row>
    <row r="14" spans="1:5" x14ac:dyDescent="0.25">
      <c r="C14" s="2"/>
    </row>
    <row r="15" spans="1:5" x14ac:dyDescent="0.25">
      <c r="C15" s="2"/>
    </row>
    <row r="16" spans="1:5" x14ac:dyDescent="0.25">
      <c r="C16" s="2"/>
      <c r="E16" s="13">
        <f>AVERAGE(Podaci!F2:F177)</f>
        <v>1.4844312702458418</v>
      </c>
    </row>
    <row r="17" spans="3:5" x14ac:dyDescent="0.25">
      <c r="C17" s="2"/>
      <c r="E17">
        <f>_xlfn.STDEV.S(Podaci!F2:F177)</f>
        <v>2.1588946673539104</v>
      </c>
    </row>
    <row r="18" spans="3:5" x14ac:dyDescent="0.25">
      <c r="C18" s="2"/>
      <c r="E18">
        <f>_xlfn.VAR.P(Podaci!F2:F177)</f>
        <v>4.6343442177704626</v>
      </c>
    </row>
    <row r="19" spans="3:5" x14ac:dyDescent="0.25">
      <c r="C19" s="2"/>
      <c r="E19">
        <f>SKEW(Podaci!F2:F177)</f>
        <v>4.2072250892225496</v>
      </c>
    </row>
    <row r="20" spans="3:5" x14ac:dyDescent="0.25">
      <c r="C20" s="2"/>
      <c r="E20">
        <f>KURT(Podaci!F2:F177)</f>
        <v>25.657812836341478</v>
      </c>
    </row>
    <row r="21" spans="3:5" x14ac:dyDescent="0.25">
      <c r="C21" s="2"/>
      <c r="E21">
        <f>CONFIDENCE(0.03,E17,COUNT(Podaci!F2:F177))</f>
        <v>0.3531449018190953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Identifikacija</vt:lpstr>
      <vt:lpstr>Podaci</vt:lpstr>
      <vt:lpstr>PivotPom</vt:lpstr>
      <vt:lpstr>Zad1</vt:lpstr>
      <vt:lpstr>Zad2</vt:lpstr>
      <vt:lpstr>Zad3</vt:lpstr>
      <vt:lpstr>Zad4</vt:lpstr>
      <vt:lpstr>Zad5</vt:lpstr>
      <vt:lpstr>Zad6</vt:lpstr>
      <vt:lpstr>Zad7</vt:lpstr>
      <vt:lpstr>Zad8</vt:lpstr>
      <vt:lpstr>Zad9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2020-09-03T13:18:26Z</dcterms:modified>
</cp:coreProperties>
</file>