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  <sheet name="Evaluation statistics" sheetId="2" r:id="rId2"/>
  </sheets>
  <calcPr calcId="125725"/>
  <fileRecoveryPr repairLoad="1"/>
</workbook>
</file>

<file path=xl/calcChain.xml><?xml version="1.0" encoding="utf-8"?>
<calcChain xmlns="http://schemas.openxmlformats.org/spreadsheetml/2006/main">
  <c r="D999" i="2"/>
  <c r="D998"/>
  <c r="D997"/>
  <c r="D996"/>
  <c r="D995"/>
  <c r="D994"/>
  <c r="D993"/>
  <c r="D992"/>
  <c r="D991"/>
  <c r="D990"/>
  <c r="D989"/>
  <c r="D987"/>
  <c r="A964" i="1"/>
  <c r="B945"/>
  <c r="B944"/>
  <c r="C944" s="1"/>
  <c r="C943"/>
  <c r="B943"/>
  <c r="B942"/>
  <c r="C942" s="1"/>
  <c r="B941"/>
  <c r="B940"/>
  <c r="C940" s="1"/>
  <c r="B939"/>
  <c r="B938"/>
  <c r="B937"/>
  <c r="B936"/>
  <c r="B935"/>
  <c r="B934"/>
  <c r="B933"/>
  <c r="B932"/>
  <c r="S89"/>
  <c r="C89"/>
  <c r="AA87"/>
  <c r="AA89" s="1"/>
  <c r="W87"/>
  <c r="W89" s="1"/>
  <c r="S87"/>
  <c r="O87"/>
  <c r="O89" s="1"/>
  <c r="K87"/>
  <c r="K89" s="1"/>
  <c r="G87"/>
  <c r="G89" s="1"/>
  <c r="C87"/>
  <c r="AA77"/>
  <c r="W77"/>
  <c r="S77"/>
  <c r="O77"/>
  <c r="K77"/>
  <c r="G77"/>
  <c r="C77"/>
  <c r="O73"/>
  <c r="AA71"/>
  <c r="AA73" s="1"/>
  <c r="W71"/>
  <c r="W73" s="1"/>
  <c r="S71"/>
  <c r="S73" s="1"/>
  <c r="O71"/>
  <c r="K71"/>
  <c r="K73" s="1"/>
  <c r="G71"/>
  <c r="G73" s="1"/>
  <c r="C71"/>
  <c r="C73" s="1"/>
  <c r="AA61"/>
  <c r="W61"/>
  <c r="S61"/>
  <c r="O61"/>
  <c r="K61"/>
  <c r="G61"/>
  <c r="C61"/>
  <c r="AA57"/>
  <c r="K57"/>
  <c r="AA55"/>
  <c r="W55"/>
  <c r="W57" s="1"/>
  <c r="S55"/>
  <c r="S57" s="1"/>
  <c r="O55"/>
  <c r="O57" s="1"/>
  <c r="K55"/>
  <c r="G55"/>
  <c r="G57" s="1"/>
  <c r="C55"/>
  <c r="C57" s="1"/>
  <c r="AA45"/>
  <c r="W45"/>
  <c r="S45"/>
  <c r="A1025" s="1"/>
  <c r="O45"/>
  <c r="A1024" s="1"/>
  <c r="K45"/>
  <c r="A1023" s="1"/>
  <c r="G45"/>
  <c r="A1022" s="1"/>
  <c r="C45"/>
  <c r="A1021" s="1"/>
  <c r="W41"/>
  <c r="G41"/>
  <c r="AA39"/>
  <c r="AA41" s="1"/>
  <c r="W39"/>
  <c r="S39"/>
  <c r="S41" s="1"/>
  <c r="O39"/>
  <c r="O41" s="1"/>
  <c r="K39"/>
  <c r="K41" s="1"/>
  <c r="G39"/>
  <c r="C39"/>
  <c r="B922" s="1"/>
  <c r="AA29"/>
  <c r="W29"/>
  <c r="A1019" s="1"/>
  <c r="S29"/>
  <c r="A1018" s="1"/>
  <c r="O29"/>
  <c r="A1017" s="1"/>
  <c r="K29"/>
  <c r="A1016" s="1"/>
  <c r="G29"/>
  <c r="A1015" s="1"/>
  <c r="C29"/>
  <c r="A1014" s="1"/>
  <c r="S25"/>
  <c r="C25"/>
  <c r="AA23"/>
  <c r="AA25" s="1"/>
  <c r="W23"/>
  <c r="W25" s="1"/>
  <c r="S23"/>
  <c r="O23"/>
  <c r="O25" s="1"/>
  <c r="K23"/>
  <c r="B924" s="1"/>
  <c r="G23"/>
  <c r="G25" s="1"/>
  <c r="C23"/>
  <c r="B923" s="1"/>
  <c r="C923" s="1"/>
  <c r="AA13"/>
  <c r="W13"/>
  <c r="A1012" s="1"/>
  <c r="S13"/>
  <c r="A1011" s="1"/>
  <c r="O13"/>
  <c r="A1010" s="1"/>
  <c r="K13"/>
  <c r="A1009" s="1"/>
  <c r="G13"/>
  <c r="A1008" s="1"/>
  <c r="C13"/>
  <c r="A1007" s="1"/>
  <c r="A353" i="2"/>
  <c r="A299"/>
  <c r="A245"/>
  <c r="A191"/>
  <c r="A137"/>
  <c r="A83"/>
  <c r="Q79"/>
  <c r="P78"/>
  <c r="O77"/>
  <c r="Q75"/>
  <c r="P74"/>
  <c r="G74"/>
  <c r="C74"/>
  <c r="P73"/>
  <c r="G73"/>
  <c r="C73"/>
  <c r="P72"/>
  <c r="G72"/>
  <c r="C72"/>
  <c r="P71"/>
  <c r="G71"/>
  <c r="C71"/>
  <c r="P70"/>
  <c r="G70"/>
  <c r="C70"/>
  <c r="P69"/>
  <c r="G69"/>
  <c r="C69"/>
  <c r="P68"/>
  <c r="G68"/>
  <c r="C68"/>
  <c r="P67"/>
  <c r="G67"/>
  <c r="C67"/>
  <c r="P66"/>
  <c r="G66"/>
  <c r="C66"/>
  <c r="P65"/>
  <c r="G65"/>
  <c r="C65"/>
  <c r="P64"/>
  <c r="G64"/>
  <c r="C64"/>
  <c r="P63"/>
  <c r="G63"/>
  <c r="C63"/>
  <c r="P62"/>
  <c r="G62"/>
  <c r="C62"/>
  <c r="P61"/>
  <c r="G61"/>
  <c r="C61"/>
  <c r="P60"/>
  <c r="G60"/>
  <c r="C60"/>
  <c r="P59"/>
  <c r="G59"/>
  <c r="C59"/>
  <c r="P58"/>
  <c r="G58"/>
  <c r="C58"/>
  <c r="P57"/>
  <c r="G57"/>
  <c r="C57"/>
  <c r="P56"/>
  <c r="G56"/>
  <c r="C56"/>
  <c r="A29"/>
  <c r="Q25"/>
  <c r="P24"/>
  <c r="O23"/>
  <c r="I22"/>
  <c r="E22"/>
  <c r="A22"/>
  <c r="I21"/>
  <c r="E21"/>
  <c r="A21"/>
  <c r="I20"/>
  <c r="E20"/>
  <c r="A20"/>
  <c r="I19"/>
  <c r="E19"/>
  <c r="A19"/>
  <c r="I18"/>
  <c r="E18"/>
  <c r="A18"/>
  <c r="I17"/>
  <c r="E17"/>
  <c r="A17"/>
  <c r="I16"/>
  <c r="E16"/>
  <c r="A16"/>
  <c r="I15"/>
  <c r="E15"/>
  <c r="A15"/>
  <c r="I14"/>
  <c r="E14"/>
  <c r="A14"/>
  <c r="I13"/>
  <c r="E13"/>
  <c r="A13"/>
  <c r="I12"/>
  <c r="E12"/>
  <c r="A12"/>
  <c r="I11"/>
  <c r="E11"/>
  <c r="A11"/>
  <c r="I10"/>
  <c r="E10"/>
  <c r="A10"/>
  <c r="I9"/>
  <c r="E9"/>
  <c r="A9"/>
  <c r="I8"/>
  <c r="E8"/>
  <c r="A8"/>
  <c r="I7"/>
  <c r="E7"/>
  <c r="A7"/>
  <c r="I6"/>
  <c r="E6"/>
  <c r="A6"/>
  <c r="I5"/>
  <c r="E5"/>
  <c r="A5"/>
  <c r="I4"/>
  <c r="E4"/>
  <c r="A4"/>
  <c r="I3"/>
  <c r="E3"/>
  <c r="A3"/>
  <c r="I2"/>
  <c r="E2"/>
  <c r="A2"/>
  <c r="O353"/>
  <c r="O299"/>
  <c r="O245"/>
  <c r="O191"/>
  <c r="O137"/>
  <c r="O83"/>
  <c r="O80"/>
  <c r="Q78"/>
  <c r="P77"/>
  <c r="O76"/>
  <c r="Q74"/>
  <c r="H74"/>
  <c r="D74"/>
  <c r="Q73"/>
  <c r="H73"/>
  <c r="D73"/>
  <c r="Q72"/>
  <c r="H72"/>
  <c r="D72"/>
  <c r="Q71"/>
  <c r="H71"/>
  <c r="D71"/>
  <c r="Q70"/>
  <c r="H70"/>
  <c r="D70"/>
  <c r="Q69"/>
  <c r="H69"/>
  <c r="D69"/>
  <c r="Q68"/>
  <c r="H68"/>
  <c r="D68"/>
  <c r="Q67"/>
  <c r="H67"/>
  <c r="D67"/>
  <c r="Q66"/>
  <c r="H66"/>
  <c r="D66"/>
  <c r="Q65"/>
  <c r="H65"/>
  <c r="D65"/>
  <c r="Q64"/>
  <c r="H64"/>
  <c r="D64"/>
  <c r="Q63"/>
  <c r="H63"/>
  <c r="D63"/>
  <c r="Q62"/>
  <c r="H62"/>
  <c r="D62"/>
  <c r="Q61"/>
  <c r="H61"/>
  <c r="D61"/>
  <c r="Q60"/>
  <c r="H60"/>
  <c r="D60"/>
  <c r="Q59"/>
  <c r="H59"/>
  <c r="D59"/>
  <c r="Q58"/>
  <c r="H58"/>
  <c r="D58"/>
  <c r="Q57"/>
  <c r="H57"/>
  <c r="D57"/>
  <c r="Q56"/>
  <c r="H56"/>
  <c r="D56"/>
  <c r="O29"/>
  <c r="O26"/>
  <c r="Q24"/>
  <c r="P23"/>
  <c r="O22"/>
  <c r="F22"/>
  <c r="B22"/>
  <c r="O21"/>
  <c r="F21"/>
  <c r="B21"/>
  <c r="O20"/>
  <c r="F20"/>
  <c r="B20"/>
  <c r="O19"/>
  <c r="F19"/>
  <c r="B19"/>
  <c r="O18"/>
  <c r="F18"/>
  <c r="B18"/>
  <c r="O17"/>
  <c r="F17"/>
  <c r="B17"/>
  <c r="O16"/>
  <c r="F16"/>
  <c r="B16"/>
  <c r="O15"/>
  <c r="F15"/>
  <c r="B15"/>
  <c r="O14"/>
  <c r="F14"/>
  <c r="B14"/>
  <c r="O13"/>
  <c r="F13"/>
  <c r="B13"/>
  <c r="O12"/>
  <c r="F12"/>
  <c r="B12"/>
  <c r="O11"/>
  <c r="F11"/>
  <c r="B11"/>
  <c r="O10"/>
  <c r="F10"/>
  <c r="B10"/>
  <c r="O9"/>
  <c r="F9"/>
  <c r="B9"/>
  <c r="O8"/>
  <c r="F8"/>
  <c r="B8"/>
  <c r="O7"/>
  <c r="F7"/>
  <c r="B7"/>
  <c r="O6"/>
  <c r="F6"/>
  <c r="B6"/>
  <c r="O5"/>
  <c r="F5"/>
  <c r="B5"/>
  <c r="O4"/>
  <c r="F4"/>
  <c r="B4"/>
  <c r="O3"/>
  <c r="F3"/>
  <c r="B3"/>
  <c r="O2"/>
  <c r="F2"/>
  <c r="B2"/>
  <c r="O79" i="1"/>
  <c r="AA78"/>
  <c r="K78"/>
  <c r="AA63"/>
  <c r="K63"/>
  <c r="W62"/>
  <c r="G62"/>
  <c r="W47"/>
  <c r="G47"/>
  <c r="S46"/>
  <c r="C46"/>
  <c r="S31"/>
  <c r="C31"/>
  <c r="O30"/>
  <c r="O15"/>
  <c r="AA14"/>
  <c r="K14"/>
  <c r="C15"/>
  <c r="W79"/>
  <c r="S78"/>
  <c r="O47"/>
  <c r="K46"/>
  <c r="AA31"/>
  <c r="W30"/>
  <c r="W15"/>
  <c r="S14"/>
  <c r="AA79"/>
  <c r="K79"/>
  <c r="W78"/>
  <c r="G78"/>
  <c r="W63"/>
  <c r="G63"/>
  <c r="S62"/>
  <c r="C62"/>
  <c r="S47"/>
  <c r="C47"/>
  <c r="O46"/>
  <c r="O31"/>
  <c r="AA30"/>
  <c r="K30"/>
  <c r="AA15"/>
  <c r="K15"/>
  <c r="W14"/>
  <c r="G14"/>
  <c r="A326" i="2"/>
  <c r="A272"/>
  <c r="A218"/>
  <c r="A164"/>
  <c r="A110"/>
  <c r="P80"/>
  <c r="O79"/>
  <c r="Q77"/>
  <c r="P76"/>
  <c r="O75"/>
  <c r="I74"/>
  <c r="E74"/>
  <c r="A74"/>
  <c r="I73"/>
  <c r="E73"/>
  <c r="A73"/>
  <c r="I72"/>
  <c r="E72"/>
  <c r="A72"/>
  <c r="I71"/>
  <c r="E71"/>
  <c r="A71"/>
  <c r="I70"/>
  <c r="E70"/>
  <c r="A70"/>
  <c r="I69"/>
  <c r="E69"/>
  <c r="A69"/>
  <c r="I68"/>
  <c r="E68"/>
  <c r="A68"/>
  <c r="I67"/>
  <c r="E67"/>
  <c r="A67"/>
  <c r="I66"/>
  <c r="E66"/>
  <c r="A66"/>
  <c r="I65"/>
  <c r="E65"/>
  <c r="A65"/>
  <c r="I64"/>
  <c r="E64"/>
  <c r="A64"/>
  <c r="I63"/>
  <c r="E63"/>
  <c r="A63"/>
  <c r="I62"/>
  <c r="E62"/>
  <c r="A62"/>
  <c r="I61"/>
  <c r="E61"/>
  <c r="A61"/>
  <c r="I60"/>
  <c r="E60"/>
  <c r="A60"/>
  <c r="I59"/>
  <c r="E59"/>
  <c r="A59"/>
  <c r="I58"/>
  <c r="E58"/>
  <c r="A58"/>
  <c r="I57"/>
  <c r="E57"/>
  <c r="A57"/>
  <c r="I56"/>
  <c r="E56"/>
  <c r="A56"/>
  <c r="P26"/>
  <c r="O25"/>
  <c r="Q23"/>
  <c r="P22"/>
  <c r="G22"/>
  <c r="C22"/>
  <c r="P21"/>
  <c r="G21"/>
  <c r="C21"/>
  <c r="P20"/>
  <c r="G20"/>
  <c r="C20"/>
  <c r="P19"/>
  <c r="G19"/>
  <c r="C19"/>
  <c r="P18"/>
  <c r="G18"/>
  <c r="C18"/>
  <c r="P17"/>
  <c r="G17"/>
  <c r="C17"/>
  <c r="P16"/>
  <c r="G16"/>
  <c r="C16"/>
  <c r="P15"/>
  <c r="G15"/>
  <c r="C15"/>
  <c r="P14"/>
  <c r="G14"/>
  <c r="C14"/>
  <c r="P13"/>
  <c r="G13"/>
  <c r="C13"/>
  <c r="P12"/>
  <c r="G12"/>
  <c r="C12"/>
  <c r="P11"/>
  <c r="G11"/>
  <c r="C11"/>
  <c r="P10"/>
  <c r="G10"/>
  <c r="C10"/>
  <c r="P9"/>
  <c r="G9"/>
  <c r="C9"/>
  <c r="P8"/>
  <c r="G8"/>
  <c r="C8"/>
  <c r="P7"/>
  <c r="G7"/>
  <c r="C7"/>
  <c r="P6"/>
  <c r="G6"/>
  <c r="C6"/>
  <c r="P5"/>
  <c r="G5"/>
  <c r="C5"/>
  <c r="P4"/>
  <c r="G4"/>
  <c r="C4"/>
  <c r="P3"/>
  <c r="G3"/>
  <c r="C3"/>
  <c r="P2"/>
  <c r="G2"/>
  <c r="C2"/>
  <c r="S79" i="1"/>
  <c r="C79"/>
  <c r="O78"/>
  <c r="O63"/>
  <c r="AA62"/>
  <c r="K62"/>
  <c r="AA47"/>
  <c r="K47"/>
  <c r="W46"/>
  <c r="G46"/>
  <c r="W31"/>
  <c r="G31"/>
  <c r="S30"/>
  <c r="C30"/>
  <c r="S15"/>
  <c r="O14"/>
  <c r="A96"/>
  <c r="G79"/>
  <c r="C78"/>
  <c r="S63"/>
  <c r="C63"/>
  <c r="O62"/>
  <c r="AA46"/>
  <c r="K31"/>
  <c r="G30"/>
  <c r="G15"/>
  <c r="C14"/>
  <c r="O326" i="2"/>
  <c r="O272"/>
  <c r="O218"/>
  <c r="O164"/>
  <c r="O110"/>
  <c r="Q80"/>
  <c r="P79"/>
  <c r="O78"/>
  <c r="Q76"/>
  <c r="P75"/>
  <c r="O74"/>
  <c r="F74"/>
  <c r="B74"/>
  <c r="O73"/>
  <c r="F73"/>
  <c r="B73"/>
  <c r="O72"/>
  <c r="F72"/>
  <c r="B72"/>
  <c r="O71"/>
  <c r="F71"/>
  <c r="B71"/>
  <c r="O70"/>
  <c r="F70"/>
  <c r="B70"/>
  <c r="O69"/>
  <c r="F69"/>
  <c r="B69"/>
  <c r="O68"/>
  <c r="F68"/>
  <c r="B68"/>
  <c r="O67"/>
  <c r="F67"/>
  <c r="B67"/>
  <c r="O66"/>
  <c r="F66"/>
  <c r="B66"/>
  <c r="O65"/>
  <c r="F65"/>
  <c r="B65"/>
  <c r="O64"/>
  <c r="F64"/>
  <c r="B64"/>
  <c r="O63"/>
  <c r="F63"/>
  <c r="B63"/>
  <c r="O62"/>
  <c r="F62"/>
  <c r="B62"/>
  <c r="O61"/>
  <c r="F61"/>
  <c r="B61"/>
  <c r="O60"/>
  <c r="F60"/>
  <c r="B60"/>
  <c r="O59"/>
  <c r="F59"/>
  <c r="B59"/>
  <c r="O58"/>
  <c r="F58"/>
  <c r="B58"/>
  <c r="O57"/>
  <c r="F57"/>
  <c r="B57"/>
  <c r="O56"/>
  <c r="F56"/>
  <c r="B56"/>
  <c r="Q26"/>
  <c r="P25"/>
  <c r="O24"/>
  <c r="Q22"/>
  <c r="H22"/>
  <c r="D22"/>
  <c r="Q21"/>
  <c r="H21"/>
  <c r="D21"/>
  <c r="Q20"/>
  <c r="H20"/>
  <c r="D20"/>
  <c r="Q19"/>
  <c r="H19"/>
  <c r="D19"/>
  <c r="Q18"/>
  <c r="H18"/>
  <c r="D18"/>
  <c r="Q17"/>
  <c r="H17"/>
  <c r="D17"/>
  <c r="Q16"/>
  <c r="H16"/>
  <c r="D16"/>
  <c r="Q15"/>
  <c r="H15"/>
  <c r="D15"/>
  <c r="Q14"/>
  <c r="H14"/>
  <c r="D14"/>
  <c r="Q13"/>
  <c r="H13"/>
  <c r="D13"/>
  <c r="Q12"/>
  <c r="H12"/>
  <c r="D12"/>
  <c r="Q11"/>
  <c r="H11"/>
  <c r="D11"/>
  <c r="Q10"/>
  <c r="H10"/>
  <c r="D10"/>
  <c r="Q9"/>
  <c r="H9"/>
  <c r="D9"/>
  <c r="Q8"/>
  <c r="H8"/>
  <c r="D8"/>
  <c r="Q7"/>
  <c r="H7"/>
  <c r="D7"/>
  <c r="Q6"/>
  <c r="H6"/>
  <c r="D6"/>
  <c r="Q5"/>
  <c r="H5"/>
  <c r="D5"/>
  <c r="Q4"/>
  <c r="H4"/>
  <c r="D4"/>
  <c r="Q3"/>
  <c r="H3"/>
  <c r="D3"/>
  <c r="Q2"/>
  <c r="H2"/>
  <c r="D2"/>
  <c r="D986" l="1"/>
  <c r="D988"/>
  <c r="F1009" i="1"/>
  <c r="B1009"/>
  <c r="G1009"/>
  <c r="C1009"/>
  <c r="H1009"/>
  <c r="D1009"/>
  <c r="I1009"/>
  <c r="E1009"/>
  <c r="F1013"/>
  <c r="B1013"/>
  <c r="G1013"/>
  <c r="C1013"/>
  <c r="H1013"/>
  <c r="D1013"/>
  <c r="E1013"/>
  <c r="G1016"/>
  <c r="C1016"/>
  <c r="H1016"/>
  <c r="D1016"/>
  <c r="I1016"/>
  <c r="E1016"/>
  <c r="F1016"/>
  <c r="B1016"/>
  <c r="G1020"/>
  <c r="C1020"/>
  <c r="H1020"/>
  <c r="D1020"/>
  <c r="E1020"/>
  <c r="F1020"/>
  <c r="B1020"/>
  <c r="H1023"/>
  <c r="D1023"/>
  <c r="I1023"/>
  <c r="E1023"/>
  <c r="F1023"/>
  <c r="B1023"/>
  <c r="G1023"/>
  <c r="C1023"/>
  <c r="H1027"/>
  <c r="D1027"/>
  <c r="E1027"/>
  <c r="F1027"/>
  <c r="B1027"/>
  <c r="G1027"/>
  <c r="C1027"/>
  <c r="E1030"/>
  <c r="F1030"/>
  <c r="B1030"/>
  <c r="G1030"/>
  <c r="C1030"/>
  <c r="H1030"/>
  <c r="D1030"/>
  <c r="E1034"/>
  <c r="F1034"/>
  <c r="B1034"/>
  <c r="G1034"/>
  <c r="C1034"/>
  <c r="H1034"/>
  <c r="D1034"/>
  <c r="E1038"/>
  <c r="F1038"/>
  <c r="B1038"/>
  <c r="G1038"/>
  <c r="C1038"/>
  <c r="H1038"/>
  <c r="D1038"/>
  <c r="G1008"/>
  <c r="C1008"/>
  <c r="H1008"/>
  <c r="D1008"/>
  <c r="I1008"/>
  <c r="E1008"/>
  <c r="F1008"/>
  <c r="B1008"/>
  <c r="G1012"/>
  <c r="C1012"/>
  <c r="H1012"/>
  <c r="D1012"/>
  <c r="I1012"/>
  <c r="E1012"/>
  <c r="F1012"/>
  <c r="B1012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I1022"/>
  <c r="E1022"/>
  <c r="F1022"/>
  <c r="B1022"/>
  <c r="G1022"/>
  <c r="C1022"/>
  <c r="H1022"/>
  <c r="D1022"/>
  <c r="E1026"/>
  <c r="F1026"/>
  <c r="B1026"/>
  <c r="G1026"/>
  <c r="C1026"/>
  <c r="H1026"/>
  <c r="D1026"/>
  <c r="F1029"/>
  <c r="B1029"/>
  <c r="G1029"/>
  <c r="C1029"/>
  <c r="H1029"/>
  <c r="D1029"/>
  <c r="E1029"/>
  <c r="F1033"/>
  <c r="B1033"/>
  <c r="G1033"/>
  <c r="C1033"/>
  <c r="H1033"/>
  <c r="D1033"/>
  <c r="E1033"/>
  <c r="F1037"/>
  <c r="B1037"/>
  <c r="G1037"/>
  <c r="C1037"/>
  <c r="H1037"/>
  <c r="D1037"/>
  <c r="E1037"/>
  <c r="F1041"/>
  <c r="B1041"/>
  <c r="G1041"/>
  <c r="C1041"/>
  <c r="H1041"/>
  <c r="D1041"/>
  <c r="E1041"/>
  <c r="H1007"/>
  <c r="D1007"/>
  <c r="I1007"/>
  <c r="E1007"/>
  <c r="F1007"/>
  <c r="B1007"/>
  <c r="G1007"/>
  <c r="C1007"/>
  <c r="H1011"/>
  <c r="D1011"/>
  <c r="I1011"/>
  <c r="E1011"/>
  <c r="F1011"/>
  <c r="B1011"/>
  <c r="G1011"/>
  <c r="C1011"/>
  <c r="I1014"/>
  <c r="E1014"/>
  <c r="F1014"/>
  <c r="B1014"/>
  <c r="G1014"/>
  <c r="C1014"/>
  <c r="H1014"/>
  <c r="D1014"/>
  <c r="I1018"/>
  <c r="E1018"/>
  <c r="F1018"/>
  <c r="B1018"/>
  <c r="G1018"/>
  <c r="C1018"/>
  <c r="H1018"/>
  <c r="D1018"/>
  <c r="F1021"/>
  <c r="B1021"/>
  <c r="G1021"/>
  <c r="C1021"/>
  <c r="H1021"/>
  <c r="D1021"/>
  <c r="I1021"/>
  <c r="E1021"/>
  <c r="F1025"/>
  <c r="B1025"/>
  <c r="G1025"/>
  <c r="C1025"/>
  <c r="H1025"/>
  <c r="D1025"/>
  <c r="I1025"/>
  <c r="E1025"/>
  <c r="G1028"/>
  <c r="C1028"/>
  <c r="H1028"/>
  <c r="D1028"/>
  <c r="E1028"/>
  <c r="F1028"/>
  <c r="B1028"/>
  <c r="G1032"/>
  <c r="C1032"/>
  <c r="H1032"/>
  <c r="D1032"/>
  <c r="E1032"/>
  <c r="F1032"/>
  <c r="B1032"/>
  <c r="G1036"/>
  <c r="C1036"/>
  <c r="H1036"/>
  <c r="D1036"/>
  <c r="E1036"/>
  <c r="F1036"/>
  <c r="B1036"/>
  <c r="G1040"/>
  <c r="C1040"/>
  <c r="H1040"/>
  <c r="D1040"/>
  <c r="E1040"/>
  <c r="F1040"/>
  <c r="B1040"/>
  <c r="I1010"/>
  <c r="E1010"/>
  <c r="F1010"/>
  <c r="B1010"/>
  <c r="G1010"/>
  <c r="C1010"/>
  <c r="H1010"/>
  <c r="D1010"/>
  <c r="F1017"/>
  <c r="B1017"/>
  <c r="G1017"/>
  <c r="C1017"/>
  <c r="H1017"/>
  <c r="D1017"/>
  <c r="I1017"/>
  <c r="E1017"/>
  <c r="G1024"/>
  <c r="C1024"/>
  <c r="H1024"/>
  <c r="D1024"/>
  <c r="I1024"/>
  <c r="E1024"/>
  <c r="F1024"/>
  <c r="B1024"/>
  <c r="H1031"/>
  <c r="D1031"/>
  <c r="E1031"/>
  <c r="F1031"/>
  <c r="B1031"/>
  <c r="G1031"/>
  <c r="C1031"/>
  <c r="H1035"/>
  <c r="D1035"/>
  <c r="E1035"/>
  <c r="F1035"/>
  <c r="B1035"/>
  <c r="G1035"/>
  <c r="C1035"/>
  <c r="H1039"/>
  <c r="D1039"/>
  <c r="E1039"/>
  <c r="F1039"/>
  <c r="B1039"/>
  <c r="G1039"/>
  <c r="C1039"/>
  <c r="C945"/>
  <c r="C41"/>
  <c r="K25"/>
  <c r="C941"/>
</calcChain>
</file>

<file path=xl/sharedStrings.xml><?xml version="1.0" encoding="utf-8"?>
<sst xmlns="http://schemas.openxmlformats.org/spreadsheetml/2006/main" count="665" uniqueCount="143">
  <si>
    <t>Squadron name: 57. Piyade Alayı</t>
  </si>
  <si>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</si>
  <si>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</si>
  <si>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</si>
  <si>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</si>
  <si>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</si>
  <si>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leader: CPT-Kadir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</si>
  <si>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</si>
  <si>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</si>
  <si>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</si>
  <si>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</si>
  <si>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</si>
  <si>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 xml:space="preserve">Squadron leader: </t>
  </si>
  <si>
    <t>Squadron members:</t>
  </si>
  <si>
    <t>HQ cl check</t>
  </si>
  <si>
    <t>CPL-Flume</t>
  </si>
  <si>
    <t>CPL-Pentex</t>
  </si>
  <si>
    <t>BCS-Lawless</t>
  </si>
  <si>
    <t>SPC-Emrullah</t>
  </si>
  <si>
    <t>PVT-PlanetMonster</t>
  </si>
  <si>
    <t>PVT-Quijprea</t>
  </si>
  <si>
    <t>CPL-Skyline</t>
  </si>
  <si>
    <t>SPC-Arkham</t>
  </si>
  <si>
    <t>SPC-Altair</t>
  </si>
  <si>
    <t>PVT-Cherif</t>
  </si>
  <si>
    <t>PFC-Harun</t>
  </si>
  <si>
    <t>PFC-SalgaG</t>
  </si>
  <si>
    <t>PFC-TaklaciBaykus</t>
  </si>
  <si>
    <t>RCT-DaFlaky</t>
  </si>
  <si>
    <t>SPC-Greaten</t>
  </si>
  <si>
    <t>PFC-Atthenum</t>
  </si>
  <si>
    <t>CPL-Dudu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</si>
  <si>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</si>
  <si>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</si>
  <si>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</si>
  <si>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</si>
  <si>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</si>
  <si>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</si>
  <si>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</si>
  <si>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</si>
  <si>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</si>
  <si>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</si>
  <si>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</si>
  <si>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Week 16 03/09/2018 - 09/09/2018</t>
  </si>
  <si>
    <t>Behavior</t>
  </si>
  <si>
    <t>Good</t>
  </si>
  <si>
    <t>-</t>
  </si>
  <si>
    <t>undefined</t>
  </si>
  <si>
    <t>Week rate (positive/negative)</t>
  </si>
  <si>
    <t>Any extra information</t>
  </si>
  <si>
    <t>//</t>
  </si>
  <si>
    <t>seems inactive will talk</t>
  </si>
  <si>
    <t>Week 17 10/09/2018 - 16/09/2018</t>
  </si>
  <si>
    <t>Week 18 17/09/2018 - 23/09/2018</t>
  </si>
  <si>
    <t>~~~</t>
  </si>
  <si>
    <t>good</t>
  </si>
  <si>
    <t>Activity rate was bugged this week</t>
  </si>
  <si>
    <t>Week 19 24/09/2018 - 30/09/2018</t>
  </si>
  <si>
    <t>Week 20 01/10/2018 - 07/10/2018</t>
  </si>
  <si>
    <t>Rabeez</t>
  </si>
  <si>
    <t>Week 21 08/10/2018 - 14/10/2018</t>
  </si>
  <si>
    <t>Week 22 15/10/2018 - 21/10/2018</t>
  </si>
  <si>
    <t>Week 23 22/10/2018 - 28/10/2018</t>
  </si>
  <si>
    <t>Week 24 29/10/2018 - 04/11/2018</t>
  </si>
  <si>
    <t>Week 25 05/11/2018 - 11/11/2018</t>
  </si>
  <si>
    <t>Week 26 12/11/2018 - 18/11/2018</t>
  </si>
  <si>
    <t>Week 27 19/11/2018 - 25/11/2018</t>
  </si>
  <si>
    <t>Week 28 26/11/2018 - 02/12/2018</t>
  </si>
  <si>
    <t xml:space="preserve">Week 29 - 03/12/2018 - 09/12/2018 </t>
  </si>
  <si>
    <t>Px+27</t>
  </si>
  <si>
    <t>Average points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</si>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</sst>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25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1"/>
      <name val="Arial"/>
    </font>
    <font>
      <b/>
      <sz val="14"/>
      <name val="Arial"/>
    </font>
    <font>
      <b/>
      <sz val="11"/>
      <color rgb="FF000000"/>
      <name val="Arial"/>
    </font>
    <font>
      <b/>
      <sz val="10"/>
      <name val="Arial"/>
    </font>
    <font>
      <i/>
      <strike/>
      <sz val="10"/>
      <name val="Arial"/>
    </font>
    <font>
      <i/>
      <strike/>
      <sz val="11"/>
      <name val="Arial"/>
    </font>
    <font>
      <b/>
      <sz val="11"/>
      <name val="Arial"/>
    </font>
    <font>
      <sz val="11"/>
      <color rgb="FF000000"/>
      <name val="Inconsolata"/>
    </font>
    <font>
      <strike/>
      <sz val="10"/>
      <name val="Arial"/>
    </font>
    <font>
      <u/>
      <sz val="10"/>
      <name val="Arial"/>
    </font>
    <font>
      <b/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7" fillId="2" borderId="0" xfId="0" applyFont="1" applyFill="1" applyAlignment="1"/>
    <xf numFmtId="0" fontId="7" fillId="2" borderId="3" xfId="0" applyFont="1" applyFill="1" applyBorder="1" applyAlignment="1"/>
    <xf numFmtId="0" fontId="2" fillId="0" borderId="0" xfId="0" applyFont="1" applyAlignment="1"/>
    <xf numFmtId="0" fontId="5" fillId="0" borderId="2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7" fillId="2" borderId="2" xfId="0" applyFont="1" applyFill="1" applyBorder="1" applyAlignment="1"/>
    <xf numFmtId="0" fontId="5" fillId="2" borderId="0" xfId="0" applyFont="1" applyFill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0" fillId="0" borderId="4" xfId="0" applyFont="1" applyBorder="1" applyAlignment="1"/>
    <xf numFmtId="0" fontId="2" fillId="0" borderId="4" xfId="0" applyFont="1" applyBorder="1"/>
    <xf numFmtId="0" fontId="11" fillId="2" borderId="0" xfId="0" applyFont="1" applyFill="1" applyAlignment="1">
      <alignment horizontal="right"/>
    </xf>
    <xf numFmtId="0" fontId="12" fillId="0" borderId="0" xfId="0" applyFont="1"/>
    <xf numFmtId="0" fontId="13" fillId="4" borderId="0" xfId="0" applyFont="1" applyFill="1"/>
    <xf numFmtId="0" fontId="14" fillId="4" borderId="0" xfId="0" applyFont="1" applyFill="1"/>
    <xf numFmtId="0" fontId="12" fillId="5" borderId="0" xfId="0" applyFont="1" applyFill="1"/>
    <xf numFmtId="0" fontId="15" fillId="5" borderId="0" xfId="0" applyFont="1" applyFill="1"/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2" fillId="4" borderId="0" xfId="0" applyFont="1" applyFill="1"/>
    <xf numFmtId="0" fontId="13" fillId="0" borderId="0" xfId="0" applyFont="1"/>
    <xf numFmtId="0" fontId="11" fillId="2" borderId="0" xfId="0" applyFont="1" applyFill="1"/>
    <xf numFmtId="0" fontId="16" fillId="2" borderId="0" xfId="0" applyFont="1" applyFill="1"/>
    <xf numFmtId="0" fontId="2" fillId="0" borderId="5" xfId="0" applyFont="1" applyBorder="1"/>
    <xf numFmtId="0" fontId="2" fillId="5" borderId="0" xfId="0" applyFont="1" applyFill="1"/>
    <xf numFmtId="0" fontId="2" fillId="0" borderId="6" xfId="0" applyFont="1" applyBorder="1"/>
    <xf numFmtId="0" fontId="17" fillId="0" borderId="0" xfId="0" applyFont="1"/>
    <xf numFmtId="0" fontId="18" fillId="0" borderId="0" xfId="0" applyFont="1"/>
    <xf numFmtId="0" fontId="2" fillId="0" borderId="7" xfId="0" applyFont="1" applyBorder="1"/>
    <xf numFmtId="0" fontId="19" fillId="2" borderId="0" xfId="0" applyFont="1" applyFill="1"/>
    <xf numFmtId="0" fontId="10" fillId="0" borderId="8" xfId="0" applyFont="1" applyBorder="1" applyAlignment="1"/>
    <xf numFmtId="0" fontId="2" fillId="0" borderId="8" xfId="0" applyFont="1" applyBorder="1"/>
    <xf numFmtId="0" fontId="16" fillId="2" borderId="0" xfId="0" applyFont="1" applyFill="1" applyAlignment="1"/>
    <xf numFmtId="0" fontId="2" fillId="0" borderId="4" xfId="0" applyFont="1" applyBorder="1" applyAlignment="1"/>
    <xf numFmtId="0" fontId="15" fillId="0" borderId="4" xfId="0" applyFont="1" applyBorder="1" applyAlignment="1"/>
    <xf numFmtId="0" fontId="6" fillId="0" borderId="4" xfId="0" applyFont="1" applyBorder="1"/>
    <xf numFmtId="0" fontId="12" fillId="0" borderId="1" xfId="0" applyFont="1" applyBorder="1" applyAlignment="1"/>
    <xf numFmtId="0" fontId="12" fillId="0" borderId="0" xfId="0" applyFont="1" applyAlignment="1"/>
    <xf numFmtId="0" fontId="2" fillId="0" borderId="2" xfId="0" applyFont="1" applyBorder="1"/>
    <xf numFmtId="0" fontId="20" fillId="0" borderId="9" xfId="0" applyFont="1" applyBorder="1" applyAlignment="1"/>
    <xf numFmtId="0" fontId="15" fillId="0" borderId="0" xfId="0" applyFont="1" applyAlignment="1"/>
    <xf numFmtId="0" fontId="21" fillId="0" borderId="0" xfId="0" applyFont="1" applyAlignment="1"/>
    <xf numFmtId="0" fontId="22" fillId="0" borderId="9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23" fillId="0" borderId="9" xfId="0" applyFont="1" applyBorder="1" applyAlignment="1"/>
    <xf numFmtId="0" fontId="20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24" fillId="0" borderId="0" xfId="0" applyFont="1" applyAlignment="1"/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 applyAlignment="1"/>
    <xf numFmtId="0" fontId="15" fillId="0" borderId="0" xfId="0" applyFont="1" applyAlignment="1">
      <alignment horizontal="center"/>
    </xf>
    <xf numFmtId="0" fontId="22" fillId="2" borderId="0" xfId="0" applyFont="1" applyFill="1" applyAlignment="1"/>
    <xf numFmtId="0" fontId="12" fillId="2" borderId="0" xfId="0" applyFont="1" applyFill="1" applyAlignment="1"/>
    <xf numFmtId="14" fontId="12" fillId="0" borderId="0" xfId="0" applyNumberFormat="1" applyFont="1"/>
    <xf numFmtId="0" fontId="20" fillId="0" borderId="9" xfId="0" applyFont="1" applyBorder="1" applyAlignment="1"/>
    <xf numFmtId="0" fontId="15" fillId="0" borderId="0" xfId="0" applyFont="1"/>
    <xf numFmtId="0" fontId="22" fillId="0" borderId="0" xfId="0" applyFont="1" applyAlignment="1"/>
    <xf numFmtId="0" fontId="9" fillId="0" borderId="0" xfId="0" applyFont="1" applyAlignment="1">
      <alignment horizontal="center"/>
    </xf>
    <xf numFmtId="0" fontId="22" fillId="0" borderId="4" xfId="0" applyFont="1" applyBorder="1" applyAlignment="1"/>
    <xf numFmtId="0" fontId="22" fillId="0" borderId="4" xfId="0" applyFont="1" applyBorder="1" applyAlignment="1"/>
    <xf numFmtId="0" fontId="12" fillId="0" borderId="4" xfId="0" applyFont="1" applyBorder="1" applyAlignment="1"/>
    <xf numFmtId="0" fontId="22" fillId="6" borderId="0" xfId="0" applyFont="1" applyFill="1" applyAlignment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2" fillId="6" borderId="0" xfId="0" applyFont="1" applyFill="1" applyAlignment="1"/>
    <xf numFmtId="0" fontId="22" fillId="2" borderId="0" xfId="0" applyFont="1" applyFill="1" applyAlignment="1"/>
    <xf numFmtId="0" fontId="4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12" fillId="6" borderId="0" xfId="0" applyFont="1" applyFill="1"/>
    <xf numFmtId="0" fontId="9" fillId="6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2" fillId="6" borderId="0" xfId="0" applyFont="1" applyFill="1" applyAlignment="1"/>
    <xf numFmtId="0" fontId="22" fillId="6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4" xfId="0" applyFont="1" applyBorder="1" applyAlignment="1"/>
    <xf numFmtId="0" fontId="2" fillId="0" borderId="4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 lvl="0">
              <a:defRPr b="0"/>
            </a:pPr>
            <a:r>
              <a:t>Average points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'Evaluation statistics'!$D$985</c:f>
              <c:strCache>
                <c:ptCount val="1"/>
                <c:pt idx="0">
                  <c:v>Average points</c:v>
                </c:pt>
              </c:strCache>
            </c:strRef>
          </c:tx>
          <c:spPr>
            <a:solidFill>
              <a:srgbClr val="3366CC"/>
            </a:solidFill>
          </c:spPr>
          <c:cat>
            <c:strRef>
              <c:f>'Evaluation statistics'!$C$986:$C$999</c:f>
              <c:strCache>
                <c:ptCount val="14"/>
                <c:pt idx="0">
                  <c:v>Week 16</c:v>
                </c:pt>
                <c:pt idx="1">
                  <c:v>Week 17</c:v>
                </c:pt>
                <c:pt idx="2">
                  <c:v>Week 18</c:v>
                </c:pt>
                <c:pt idx="3">
                  <c:v>Week 19</c:v>
                </c:pt>
                <c:pt idx="4">
                  <c:v>Week 20</c:v>
                </c:pt>
                <c:pt idx="5">
                  <c:v>Week 21</c:v>
                </c:pt>
                <c:pt idx="6">
                  <c:v>Week 22</c:v>
                </c:pt>
                <c:pt idx="7">
                  <c:v>Week 23</c:v>
                </c:pt>
                <c:pt idx="8">
                  <c:v>Week 24</c:v>
                </c:pt>
                <c:pt idx="9">
                  <c:v>Week 25</c:v>
                </c:pt>
                <c:pt idx="10">
                  <c:v>Week 26</c:v>
                </c:pt>
                <c:pt idx="11">
                  <c:v>Week 27</c:v>
                </c:pt>
                <c:pt idx="12">
                  <c:v>Week 28</c:v>
                </c:pt>
                <c:pt idx="13">
                  <c:v>Week 29</c:v>
                </c:pt>
              </c:strCache>
            </c:strRef>
          </c:cat>
          <c:val>
            <c:numRef>
              <c:f>'Evaluation statistics'!$D$986:$D$999</c:f>
              <c:numCache>
                <c:formatCode>General</c:formatCode>
                <c:ptCount val="14"/>
                <c:pt idx="0">
                  <c:v>11.058823529411701</c:v>
                </c:pt>
                <c:pt idx="1">
                  <c:v>0</c:v>
                </c:pt>
                <c:pt idx="2">
                  <c:v>10.96875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85015168"/>
        <c:axId val="85025152"/>
      </c:barChart>
      <c:catAx>
        <c:axId val="85015168"/>
        <c:scaling>
          <c:orientation val="minMax"/>
        </c:scaling>
        <c:axPos val="b"/>
        <c:tickLblPos val="nextTo"/>
        <c:txPr>
          <a:bodyPr/>
          <a:lstStyle/>
          <a:p>
            <a:pPr lvl="0">
              <a:defRPr b="0"/>
            </a:pPr>
            <a:endParaRPr lang="tr-TR"/>
          </a:p>
        </c:txPr>
        <c:crossAx val="85025152"/>
        <c:crosses val="autoZero"/>
        <c:lblAlgn val="ctr"/>
        <c:lblOffset val="100"/>
      </c:catAx>
      <c:valAx>
        <c:axId val="8502515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points</a:t>
                </a:r>
              </a:p>
            </c:rich>
          </c:tx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tr-TR"/>
          </a:p>
        </c:txPr>
        <c:crossAx val="850151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982</xdr:row>
      <xdr:rowOff>47625</xdr:rowOff>
    </xdr:from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4" workbookViewId="0">
      <selection activeCell="K1030" sqref="K1030"/>
    </sheetView>
  </sheetViews>
  <sheetFormatPr defaultColWidth="14.42578125" defaultRowHeight="15.75" customHeight="1"/>
  <sheetData>
    <row r="1" spans="1:30">
      <c r="A1" s="116" t="s">
        <v>0</v>
      </c>
      <c r="B1" s="113"/>
      <c r="C1" s="113"/>
      <c r="D1" s="114"/>
      <c r="E1" s="112" t="s">
        <v>1</v>
      </c>
      <c r="F1" s="113"/>
      <c r="G1" s="113"/>
      <c r="H1" s="114"/>
      <c r="I1" s="112" t="s">
        <v>2</v>
      </c>
      <c r="J1" s="113"/>
      <c r="K1" s="113"/>
      <c r="L1" s="114"/>
      <c r="M1" s="112" t="s">
        <v>3</v>
      </c>
      <c r="N1" s="113"/>
      <c r="O1" s="113"/>
      <c r="P1" s="114"/>
      <c r="Q1" s="112" t="s">
        <v>4</v>
      </c>
      <c r="R1" s="113"/>
      <c r="S1" s="113"/>
      <c r="T1" s="114"/>
      <c r="U1" s="112" t="s">
        <v>5</v>
      </c>
      <c r="V1" s="113"/>
      <c r="W1" s="113"/>
      <c r="X1" s="114"/>
      <c r="Y1" s="112" t="s">
        <v>2</v>
      </c>
      <c r="Z1" s="113"/>
      <c r="AA1" s="113"/>
      <c r="AB1" s="114"/>
    </row>
    <row r="2" spans="1:30">
      <c r="A2" s="115" t="s">
        <v>6</v>
      </c>
      <c r="B2" s="113"/>
      <c r="C2" s="113"/>
      <c r="D2" s="114"/>
      <c r="E2" s="112" t="s">
        <v>7</v>
      </c>
      <c r="F2" s="113"/>
      <c r="G2" s="113"/>
      <c r="H2" s="114"/>
      <c r="I2" s="112" t="s">
        <v>8</v>
      </c>
      <c r="J2" s="113"/>
      <c r="K2" s="113"/>
      <c r="L2" s="114"/>
      <c r="M2" s="112" t="s">
        <v>9</v>
      </c>
      <c r="N2" s="113"/>
      <c r="O2" s="113"/>
      <c r="P2" s="114"/>
      <c r="Q2" s="112" t="s">
        <v>10</v>
      </c>
      <c r="R2" s="113"/>
      <c r="S2" s="113"/>
      <c r="T2" s="114"/>
      <c r="U2" s="112" t="s">
        <v>11</v>
      </c>
      <c r="V2" s="113"/>
      <c r="W2" s="113"/>
      <c r="X2" s="114"/>
      <c r="Y2" s="112" t="s">
        <v>12</v>
      </c>
      <c r="Z2" s="113"/>
      <c r="AA2" s="113"/>
      <c r="AB2" s="11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13</v>
      </c>
      <c r="B4" s="7"/>
      <c r="C4" s="7"/>
      <c r="D4" s="8"/>
      <c r="E4" s="9" t="s">
        <v>13</v>
      </c>
      <c r="F4" s="7"/>
      <c r="G4" s="7"/>
      <c r="H4" s="8"/>
      <c r="I4" s="9" t="s">
        <v>13</v>
      </c>
      <c r="J4" s="7"/>
      <c r="K4" s="7"/>
      <c r="L4" s="8"/>
      <c r="M4" s="10" t="s">
        <v>13</v>
      </c>
      <c r="N4" s="7"/>
      <c r="O4" s="7"/>
      <c r="P4" s="8"/>
      <c r="Q4" s="10" t="s">
        <v>13</v>
      </c>
      <c r="R4" s="7"/>
      <c r="S4" s="7"/>
      <c r="T4" s="8"/>
      <c r="U4" s="10" t="s">
        <v>13</v>
      </c>
      <c r="V4" s="7"/>
      <c r="W4" s="7"/>
      <c r="X4" s="8"/>
      <c r="Y4" s="10" t="s">
        <v>13</v>
      </c>
      <c r="Z4" s="7"/>
      <c r="AA4" s="7"/>
      <c r="AB4" s="8"/>
      <c r="AC4" s="2"/>
      <c r="AD4" s="5"/>
    </row>
    <row r="5" spans="1:30" ht="15.75" customHeight="1">
      <c r="A5" s="2"/>
      <c r="B5" s="2" t="s">
        <v>14</v>
      </c>
      <c r="C5" s="2"/>
      <c r="D5" s="3"/>
      <c r="E5" s="4"/>
      <c r="F5" s="11" t="s">
        <v>14</v>
      </c>
      <c r="G5" s="2"/>
      <c r="H5" s="3"/>
      <c r="I5" s="4"/>
      <c r="J5" s="11" t="s">
        <v>14</v>
      </c>
      <c r="K5" s="2"/>
      <c r="L5" s="3"/>
      <c r="M5" s="4"/>
      <c r="N5" s="2" t="s">
        <v>14</v>
      </c>
      <c r="O5" s="2"/>
      <c r="P5" s="3"/>
      <c r="Q5" s="4"/>
      <c r="R5" s="2" t="s">
        <v>14</v>
      </c>
      <c r="S5" s="2"/>
      <c r="T5" s="3"/>
      <c r="U5" s="4"/>
      <c r="V5" s="2" t="s">
        <v>14</v>
      </c>
      <c r="W5" s="2"/>
      <c r="X5" s="3"/>
      <c r="Y5" s="4"/>
      <c r="Z5" s="2" t="s">
        <v>14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15</v>
      </c>
      <c r="B7" s="15"/>
      <c r="C7" s="5"/>
      <c r="D7" s="16"/>
      <c r="E7" s="14" t="s">
        <v>16</v>
      </c>
      <c r="F7" s="5"/>
      <c r="G7" s="5"/>
      <c r="H7" s="16"/>
      <c r="I7" s="14" t="s">
        <v>17</v>
      </c>
      <c r="J7" s="17"/>
      <c r="K7" s="5"/>
      <c r="L7" s="16"/>
      <c r="M7" s="14" t="s">
        <v>18</v>
      </c>
      <c r="N7" s="15"/>
      <c r="O7" s="5"/>
      <c r="P7" s="16"/>
      <c r="Q7" s="18" t="s">
        <v>19</v>
      </c>
      <c r="R7" s="5"/>
      <c r="S7" s="5"/>
      <c r="T7" s="16"/>
      <c r="U7" s="19" t="s">
        <v>20</v>
      </c>
      <c r="V7" s="5"/>
      <c r="W7" s="5"/>
      <c r="X7" s="16"/>
      <c r="Y7" s="20"/>
      <c r="Z7" s="5"/>
      <c r="AA7" s="5"/>
      <c r="AB7" s="16"/>
      <c r="AC7" s="2"/>
      <c r="AD7" s="21"/>
    </row>
    <row r="8" spans="1:30" ht="15.75" customHeight="1">
      <c r="A8" s="14" t="s">
        <v>21</v>
      </c>
      <c r="B8" s="15"/>
      <c r="C8" s="5"/>
      <c r="D8" s="16"/>
      <c r="E8" s="22" t="s">
        <v>22</v>
      </c>
      <c r="F8" s="5"/>
      <c r="G8" s="15"/>
      <c r="H8" s="16"/>
      <c r="I8" s="14" t="s">
        <v>23</v>
      </c>
      <c r="J8" s="15"/>
      <c r="K8" s="5"/>
      <c r="L8" s="16"/>
      <c r="M8" s="14" t="s">
        <v>24</v>
      </c>
      <c r="N8" s="5"/>
      <c r="O8" s="5"/>
      <c r="P8" s="16"/>
      <c r="Q8" s="23" t="s">
        <v>25</v>
      </c>
      <c r="R8" s="5"/>
      <c r="S8" s="5"/>
      <c r="T8" s="16"/>
      <c r="U8" s="14" t="s">
        <v>26</v>
      </c>
      <c r="V8" s="5"/>
      <c r="W8" s="5"/>
      <c r="X8" s="16"/>
      <c r="Y8" s="14"/>
      <c r="Z8" s="5"/>
      <c r="AA8" s="5"/>
      <c r="AB8" s="16"/>
      <c r="AC8" s="2"/>
      <c r="AD8" s="21"/>
    </row>
    <row r="9" spans="1:30" ht="15.75" customHeight="1">
      <c r="A9" s="14" t="s">
        <v>27</v>
      </c>
      <c r="B9" s="5"/>
      <c r="C9" s="5"/>
      <c r="D9" s="16"/>
      <c r="E9" s="14" t="s">
        <v>28</v>
      </c>
      <c r="F9" s="5"/>
      <c r="G9" s="15"/>
      <c r="H9" s="16"/>
      <c r="I9" s="14" t="s">
        <v>29</v>
      </c>
      <c r="J9" s="24"/>
      <c r="K9" s="5"/>
      <c r="L9" s="16"/>
      <c r="M9" s="14" t="s">
        <v>30</v>
      </c>
      <c r="N9" s="5"/>
      <c r="O9" s="5"/>
      <c r="P9" s="16"/>
      <c r="Q9" s="20" t="s">
        <v>31</v>
      </c>
      <c r="R9" s="5"/>
      <c r="S9" s="5"/>
      <c r="T9" s="16"/>
      <c r="U9" s="14"/>
      <c r="V9" s="5"/>
      <c r="W9" s="5"/>
      <c r="X9" s="16"/>
      <c r="Y9" s="20"/>
      <c r="Z9" s="5"/>
      <c r="AA9" s="5"/>
      <c r="AB9" s="16"/>
      <c r="AC9" s="2"/>
      <c r="AD9" s="21"/>
    </row>
    <row r="10" spans="1:30" ht="15.75" customHeight="1">
      <c r="A10" s="14"/>
      <c r="B10" s="5"/>
      <c r="C10" s="5"/>
      <c r="D10" s="16"/>
      <c r="E10" s="14"/>
      <c r="F10" s="5"/>
      <c r="G10" s="5"/>
      <c r="H10" s="16"/>
      <c r="I10" s="20"/>
      <c r="J10" s="5"/>
      <c r="K10" s="5"/>
      <c r="L10" s="16"/>
      <c r="M10" s="14"/>
      <c r="N10" s="5"/>
      <c r="O10" s="5"/>
      <c r="P10" s="16"/>
      <c r="Q10" s="14"/>
      <c r="R10" s="5"/>
      <c r="S10" s="5"/>
      <c r="T10" s="16"/>
      <c r="V10" s="5"/>
      <c r="W10" s="5"/>
      <c r="X10" s="16"/>
      <c r="Y10" s="14"/>
      <c r="Z10" s="5"/>
      <c r="AA10" s="5"/>
      <c r="AB10" s="16"/>
      <c r="AC10" s="2"/>
      <c r="AD10" s="21"/>
    </row>
    <row r="11" spans="1:30" ht="15.75" customHeight="1">
      <c r="A11" s="14"/>
      <c r="B11" s="25"/>
      <c r="C11" s="26"/>
      <c r="D11" s="16"/>
      <c r="E11" s="14"/>
      <c r="F11" s="5"/>
      <c r="G11" s="5"/>
      <c r="H11" s="16"/>
      <c r="J11" s="5"/>
      <c r="K11" s="5"/>
      <c r="L11" s="16"/>
      <c r="N11" s="5"/>
      <c r="O11" s="5"/>
      <c r="P11" s="16"/>
      <c r="R11" s="5"/>
      <c r="S11" s="5"/>
      <c r="T11" s="16"/>
      <c r="U11" s="14"/>
      <c r="V11" s="5"/>
      <c r="W11" s="5"/>
      <c r="X11" s="16"/>
      <c r="Y11" s="14"/>
      <c r="Z11" s="5"/>
      <c r="AA11" s="5"/>
      <c r="AB11" s="16"/>
      <c r="AC11" s="2"/>
      <c r="AD11" s="21"/>
    </row>
    <row r="12" spans="1:30" ht="15.75" customHeight="1">
      <c r="A12" s="5"/>
      <c r="B12" s="5"/>
      <c r="C12" s="26"/>
      <c r="D12" s="16"/>
      <c r="E12" s="27"/>
      <c r="F12" s="5"/>
      <c r="G12" s="5"/>
      <c r="H12" s="16"/>
      <c r="I12" s="27"/>
      <c r="J12" s="5"/>
      <c r="K12" s="5"/>
      <c r="L12" s="16"/>
      <c r="M12" s="27"/>
      <c r="N12" s="5"/>
      <c r="O12" s="5"/>
      <c r="P12" s="16"/>
      <c r="Q12" s="27"/>
      <c r="R12" s="5"/>
      <c r="S12" s="5"/>
      <c r="T12" s="16"/>
      <c r="U12" s="27"/>
      <c r="V12" s="5"/>
      <c r="W12" s="5"/>
      <c r="X12" s="16"/>
      <c r="Y12" s="27"/>
      <c r="Z12" s="5"/>
      <c r="AA12" s="5"/>
      <c r="AB12" s="16"/>
      <c r="AC12" s="2"/>
      <c r="AD12" s="21"/>
    </row>
    <row r="13" spans="1:30" ht="15.75" customHeight="1">
      <c r="A13" s="5" t="s">
        <v>32</v>
      </c>
      <c r="B13" s="5"/>
      <c r="C13" s="25" t="str">
        <f>RIGHT(A7, LEN(A7)-FIND("-", A7))</f>
        <v>Flume</v>
      </c>
      <c r="D13" s="16"/>
      <c r="E13" s="27" t="s">
        <v>32</v>
      </c>
      <c r="F13" s="5"/>
      <c r="G13" s="25" t="str">
        <f>RIGHT(E7, LEN(E7)-FIND("-", E7))</f>
        <v>Pentex</v>
      </c>
      <c r="H13" s="16"/>
      <c r="I13" s="27" t="s">
        <v>32</v>
      </c>
      <c r="J13" s="5"/>
      <c r="K13" s="25" t="str">
        <f>RIGHT(I7, LEN(I7)-FIND("-", I7))</f>
        <v>Lawless</v>
      </c>
      <c r="L13" s="16"/>
      <c r="M13" s="27" t="s">
        <v>32</v>
      </c>
      <c r="N13" s="5"/>
      <c r="O13" s="25" t="str">
        <f>RIGHT(M7, LEN(M7)-FIND("-", M7))</f>
        <v>Emrullah</v>
      </c>
      <c r="P13" s="16"/>
      <c r="Q13" s="27" t="s">
        <v>32</v>
      </c>
      <c r="R13" s="5"/>
      <c r="S13" s="25" t="str">
        <f>RIGHT(Q7, LEN(Q7)-FIND("-", Q7))</f>
        <v>PlanetMonster</v>
      </c>
      <c r="T13" s="16"/>
      <c r="U13" s="27" t="s">
        <v>32</v>
      </c>
      <c r="V13" s="5"/>
      <c r="W13" s="25" t="str">
        <f>RIGHT(U7, LEN(U7)-FIND("-", U7))</f>
        <v>Quijprea</v>
      </c>
      <c r="X13" s="16"/>
      <c r="Y13" s="27" t="s">
        <v>32</v>
      </c>
      <c r="Z13" s="5"/>
      <c r="AA13" s="25" t="e">
        <f>RIGHT(Y7, LEN(Y7)-FIND("-", Y7))</f>
        <v>#VALUE!</v>
      </c>
      <c r="AB13" s="16"/>
      <c r="AC13" s="2"/>
      <c r="AD13" s="21"/>
    </row>
    <row r="14" spans="1:30">
      <c r="A14" s="5" t="s">
        <v>33</v>
      </c>
      <c r="B14" s="5"/>
      <c r="C14" s="28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6"/>
      <c r="E14" s="27" t="s">
        <v>33</v>
      </c>
      <c r="F14" s="5"/>
      <c r="G14" s="28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16"/>
      <c r="I14" s="27" t="s">
        <v>33</v>
      </c>
      <c r="J14" s="5"/>
      <c r="K14" s="28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Studen"&amp;"t"",))))))"),"Boot Camp Student")</f>
        <v>Boot Camp Student</v>
      </c>
      <c r="L14" s="16"/>
      <c r="M14" s="27" t="s">
        <v>33</v>
      </c>
      <c r="N14" s="5"/>
      <c r="O14" s="28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Studen"&amp;"t"",))))))"),"Specialist")</f>
        <v>Specialist</v>
      </c>
      <c r="P14" s="16"/>
      <c r="Q14" s="27" t="s">
        <v>33</v>
      </c>
      <c r="R14" s="5"/>
      <c r="S14" s="28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16"/>
      <c r="U14" s="27" t="s">
        <v>33</v>
      </c>
      <c r="V14" s="5"/>
      <c r="W14" s="28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Studen"&amp;"t"",))))))"),"Private")</f>
        <v>Private</v>
      </c>
      <c r="X14" s="16"/>
      <c r="Y14" s="27" t="s">
        <v>33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16"/>
      <c r="AC14" s="2"/>
      <c r="AD14" s="29"/>
    </row>
    <row r="15" spans="1:30" ht="15.75" customHeight="1">
      <c r="A15" s="5" t="s">
        <v>34</v>
      </c>
      <c r="B15" s="5"/>
      <c r="C15" s="28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""No-Lifer""))))))"),"No-Lifer")</f>
        <v>No-Lifer</v>
      </c>
      <c r="D15" s="16"/>
      <c r="E15" s="27" t="s">
        <v>34</v>
      </c>
      <c r="F15" s="5"/>
      <c r="G15" s="30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""No-Lif"&amp;"er""))))))"),"Undefined")</f>
        <v>Undefined</v>
      </c>
      <c r="H15" s="16"/>
      <c r="I15" s="27" t="s">
        <v>34</v>
      </c>
      <c r="J15" s="5"/>
      <c r="K15" s="30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16"/>
      <c r="M15" s="27" t="s">
        <v>34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""No-Lif"&amp;"er""))))))"),"No-Lifer")</f>
        <v>No-Lifer</v>
      </c>
      <c r="P15" s="16"/>
      <c r="Q15" s="27" t="s">
        <v>34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16"/>
      <c r="U15" s="27" t="s">
        <v>34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""No-Lif"&amp;"er""))))))"),"No-Lifer")</f>
        <v>No-Lifer</v>
      </c>
      <c r="X15" s="16"/>
      <c r="Y15" s="27" t="s">
        <v>34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16"/>
      <c r="AC15" s="2"/>
      <c r="AD15" s="5"/>
    </row>
    <row r="16" spans="1:30" ht="15.75" customHeight="1">
      <c r="A16" s="31" t="s">
        <v>35</v>
      </c>
      <c r="B16" s="5"/>
      <c r="C16" s="32">
        <v>0</v>
      </c>
      <c r="D16" s="16"/>
      <c r="E16" s="33" t="s">
        <v>35</v>
      </c>
      <c r="F16" s="5"/>
      <c r="G16" s="22">
        <v>0</v>
      </c>
      <c r="H16" s="16"/>
      <c r="I16" s="33" t="s">
        <v>35</v>
      </c>
      <c r="J16" s="5"/>
      <c r="K16" s="22">
        <v>0</v>
      </c>
      <c r="L16" s="16"/>
      <c r="M16" s="33" t="s">
        <v>35</v>
      </c>
      <c r="N16" s="5"/>
      <c r="O16" s="22">
        <v>0</v>
      </c>
      <c r="P16" s="16"/>
      <c r="Q16" s="33" t="s">
        <v>35</v>
      </c>
      <c r="R16" s="5"/>
      <c r="S16" s="22">
        <v>0</v>
      </c>
      <c r="T16" s="16"/>
      <c r="U16" s="33" t="s">
        <v>35</v>
      </c>
      <c r="V16" s="5"/>
      <c r="W16" s="22">
        <v>0</v>
      </c>
      <c r="X16" s="16"/>
      <c r="Y16" s="33" t="s">
        <v>35</v>
      </c>
      <c r="Z16" s="5"/>
      <c r="AA16" s="22"/>
      <c r="AB16" s="16"/>
      <c r="AC16" s="2"/>
      <c r="AD16" s="5"/>
    </row>
    <row r="17" spans="1:30" ht="15.75" customHeight="1">
      <c r="A17" s="31" t="s">
        <v>36</v>
      </c>
      <c r="B17" s="5"/>
      <c r="C17" s="34">
        <v>0</v>
      </c>
      <c r="D17" s="16"/>
      <c r="E17" s="33" t="s">
        <v>36</v>
      </c>
      <c r="F17" s="5"/>
      <c r="G17" s="22">
        <v>0</v>
      </c>
      <c r="H17" s="16"/>
      <c r="I17" s="33" t="s">
        <v>36</v>
      </c>
      <c r="J17" s="5"/>
      <c r="K17" s="22">
        <v>0</v>
      </c>
      <c r="L17" s="16"/>
      <c r="M17" s="33" t="s">
        <v>36</v>
      </c>
      <c r="N17" s="5"/>
      <c r="O17" s="22">
        <v>0</v>
      </c>
      <c r="P17" s="16"/>
      <c r="Q17" s="33" t="s">
        <v>36</v>
      </c>
      <c r="R17" s="5"/>
      <c r="S17" s="22">
        <v>0</v>
      </c>
      <c r="T17" s="16"/>
      <c r="U17" s="33" t="s">
        <v>36</v>
      </c>
      <c r="V17" s="5"/>
      <c r="W17" s="22">
        <v>0</v>
      </c>
      <c r="X17" s="16"/>
      <c r="Y17" s="33" t="s">
        <v>36</v>
      </c>
      <c r="Z17" s="5"/>
      <c r="AA17" s="5"/>
      <c r="AB17" s="16"/>
      <c r="AC17" s="2"/>
      <c r="AD17" s="5"/>
    </row>
    <row r="18" spans="1:30" ht="15.75" customHeight="1">
      <c r="A18" s="35" t="s">
        <v>37</v>
      </c>
      <c r="B18" s="5"/>
      <c r="C18" s="34">
        <v>2</v>
      </c>
      <c r="D18" s="16"/>
      <c r="E18" s="36" t="s">
        <v>37</v>
      </c>
      <c r="F18" s="5"/>
      <c r="G18" s="22">
        <v>0</v>
      </c>
      <c r="H18" s="16"/>
      <c r="I18" s="36" t="s">
        <v>37</v>
      </c>
      <c r="J18" s="5"/>
      <c r="K18" s="22">
        <v>1</v>
      </c>
      <c r="L18" s="16"/>
      <c r="M18" s="36" t="s">
        <v>37</v>
      </c>
      <c r="N18" s="5"/>
      <c r="O18" s="22">
        <v>2</v>
      </c>
      <c r="P18" s="16"/>
      <c r="Q18" s="36" t="s">
        <v>37</v>
      </c>
      <c r="R18" s="5"/>
      <c r="S18" s="22">
        <v>0</v>
      </c>
      <c r="T18" s="16"/>
      <c r="U18" s="36" t="s">
        <v>37</v>
      </c>
      <c r="V18" s="5"/>
      <c r="W18" s="22">
        <v>1</v>
      </c>
      <c r="X18" s="16"/>
      <c r="Y18" s="36" t="s">
        <v>37</v>
      </c>
      <c r="Z18" s="5"/>
      <c r="AA18" s="5"/>
      <c r="AB18" s="16"/>
      <c r="AC18" s="2"/>
      <c r="AD18" s="5"/>
    </row>
    <row r="19" spans="1:30" ht="15.75" customHeight="1">
      <c r="A19" s="35" t="s">
        <v>38</v>
      </c>
      <c r="B19" s="5"/>
      <c r="C19" s="34">
        <v>13</v>
      </c>
      <c r="D19" s="16"/>
      <c r="E19" s="36" t="s">
        <v>38</v>
      </c>
      <c r="F19" s="5"/>
      <c r="G19" s="22">
        <v>0</v>
      </c>
      <c r="H19" s="16"/>
      <c r="I19" s="36" t="s">
        <v>38</v>
      </c>
      <c r="J19" s="5"/>
      <c r="K19" s="22">
        <v>0</v>
      </c>
      <c r="L19" s="16"/>
      <c r="M19" s="36" t="s">
        <v>38</v>
      </c>
      <c r="N19" s="5"/>
      <c r="O19" s="22">
        <v>4</v>
      </c>
      <c r="P19" s="16"/>
      <c r="Q19" s="36" t="s">
        <v>38</v>
      </c>
      <c r="R19" s="5"/>
      <c r="S19" s="22">
        <v>0</v>
      </c>
      <c r="T19" s="16"/>
      <c r="U19" s="36" t="s">
        <v>38</v>
      </c>
      <c r="V19" s="5"/>
      <c r="W19" s="22">
        <v>0</v>
      </c>
      <c r="X19" s="16"/>
      <c r="Y19" s="36" t="s">
        <v>38</v>
      </c>
      <c r="Z19" s="5"/>
      <c r="AA19" s="5"/>
      <c r="AB19" s="16"/>
      <c r="AC19" s="2"/>
      <c r="AD19" s="2"/>
    </row>
    <row r="20" spans="1:30" ht="15.75" customHeight="1">
      <c r="A20" s="35" t="s">
        <v>39</v>
      </c>
      <c r="B20" s="5"/>
      <c r="C20" s="34">
        <v>11</v>
      </c>
      <c r="D20" s="16"/>
      <c r="E20" s="36" t="s">
        <v>39</v>
      </c>
      <c r="F20" s="5"/>
      <c r="G20" s="22">
        <v>0</v>
      </c>
      <c r="H20" s="16"/>
      <c r="I20" s="36" t="s">
        <v>39</v>
      </c>
      <c r="J20" s="5"/>
      <c r="K20" s="22">
        <v>4</v>
      </c>
      <c r="L20" s="16"/>
      <c r="M20" s="36" t="s">
        <v>39</v>
      </c>
      <c r="N20" s="5"/>
      <c r="O20" s="22">
        <v>11</v>
      </c>
      <c r="P20" s="16"/>
      <c r="Q20" s="36" t="s">
        <v>39</v>
      </c>
      <c r="R20" s="5"/>
      <c r="S20" s="22">
        <v>0</v>
      </c>
      <c r="T20" s="16"/>
      <c r="U20" s="36" t="s">
        <v>39</v>
      </c>
      <c r="V20" s="5"/>
      <c r="W20" s="22">
        <v>12</v>
      </c>
      <c r="X20" s="16"/>
      <c r="Y20" s="36" t="s">
        <v>39</v>
      </c>
      <c r="Z20" s="5"/>
      <c r="AA20" s="5"/>
      <c r="AB20" s="16"/>
      <c r="AC20" s="2"/>
      <c r="AD20" s="2"/>
    </row>
    <row r="21" spans="1:30" ht="15.75" customHeight="1">
      <c r="A21" s="37" t="s">
        <v>40</v>
      </c>
      <c r="B21" s="5"/>
      <c r="C21" s="34">
        <v>1</v>
      </c>
      <c r="D21" s="16"/>
      <c r="E21" s="38" t="s">
        <v>40</v>
      </c>
      <c r="F21" s="5"/>
      <c r="G21" s="34">
        <v>0</v>
      </c>
      <c r="H21" s="16"/>
      <c r="I21" s="38" t="s">
        <v>40</v>
      </c>
      <c r="J21" s="5"/>
      <c r="K21" s="34">
        <v>0</v>
      </c>
      <c r="L21" s="16"/>
      <c r="M21" s="38" t="s">
        <v>40</v>
      </c>
      <c r="N21" s="5"/>
      <c r="O21" s="22">
        <v>0</v>
      </c>
      <c r="P21" s="16"/>
      <c r="Q21" s="38" t="s">
        <v>40</v>
      </c>
      <c r="R21" s="5"/>
      <c r="S21" s="22">
        <v>0</v>
      </c>
      <c r="T21" s="16"/>
      <c r="U21" s="38" t="s">
        <v>40</v>
      </c>
      <c r="V21" s="5"/>
      <c r="W21" s="22">
        <v>1</v>
      </c>
      <c r="X21" s="16"/>
      <c r="Y21" s="38" t="s">
        <v>40</v>
      </c>
      <c r="Z21" s="5"/>
      <c r="AA21" s="22"/>
      <c r="AB21" s="16"/>
      <c r="AC21" s="2"/>
      <c r="AD21" s="2"/>
    </row>
    <row r="22" spans="1:30" ht="15.75" customHeight="1">
      <c r="A22" s="35" t="s">
        <v>41</v>
      </c>
      <c r="B22" s="5"/>
      <c r="C22" s="34">
        <v>3</v>
      </c>
      <c r="D22" s="16"/>
      <c r="E22" s="36" t="s">
        <v>41</v>
      </c>
      <c r="F22" s="5"/>
      <c r="G22" s="34">
        <v>0</v>
      </c>
      <c r="H22" s="16"/>
      <c r="I22" s="36" t="s">
        <v>41</v>
      </c>
      <c r="J22" s="5"/>
      <c r="K22" s="34">
        <v>2</v>
      </c>
      <c r="L22" s="16"/>
      <c r="M22" s="36" t="s">
        <v>41</v>
      </c>
      <c r="N22" s="5"/>
      <c r="O22" s="22">
        <v>4</v>
      </c>
      <c r="P22" s="16"/>
      <c r="Q22" s="36" t="s">
        <v>41</v>
      </c>
      <c r="R22" s="5"/>
      <c r="S22" s="22">
        <v>0</v>
      </c>
      <c r="T22" s="16"/>
      <c r="U22" s="36" t="s">
        <v>41</v>
      </c>
      <c r="V22" s="5"/>
      <c r="W22" s="22">
        <v>3</v>
      </c>
      <c r="X22" s="16"/>
      <c r="Y22" s="36" t="s">
        <v>41</v>
      </c>
      <c r="Z22" s="5"/>
      <c r="AA22" s="5"/>
      <c r="AB22" s="16"/>
    </row>
    <row r="23" spans="1:30">
      <c r="A23" s="37" t="s">
        <v>42</v>
      </c>
      <c r="B23" s="5"/>
      <c r="C23" s="29">
        <f>(C16*B955)+(C17*B956)+(C18*B957)+(C19*B958)+(C20*B959)+(C21*B960)+(C22*B961)</f>
        <v>43.5</v>
      </c>
      <c r="D23" s="16"/>
      <c r="E23" s="38" t="s">
        <v>42</v>
      </c>
      <c r="F23" s="5"/>
      <c r="G23" s="41">
        <f>(G16*$B$955)+(G17*$B$956)+(G18*$B$957)+(G19*$B$958)+(G20*$B$959)+(G21*$B$960)+(G22*$B$961)</f>
        <v>0</v>
      </c>
      <c r="H23" s="16"/>
      <c r="I23" s="38" t="s">
        <v>42</v>
      </c>
      <c r="J23" s="5"/>
      <c r="K23" s="41">
        <f>(K16*$B$955)+(K17*$B$956)+(K18*$B$957)+(K19*$B$958)+(K20*$B$959)+(K21*$B$960)+(K22*$B$961)</f>
        <v>9.5</v>
      </c>
      <c r="L23" s="16"/>
      <c r="M23" s="38" t="s">
        <v>42</v>
      </c>
      <c r="N23" s="5"/>
      <c r="O23" s="41">
        <f>(O16*$B$955)+(O17*$B$956)+(O18*$B$957)+(O19*$B$958)+(O20*$B$959)+(O21*$B$960)+(O22*$B$961)</f>
        <v>28</v>
      </c>
      <c r="P23" s="16"/>
      <c r="Q23" s="38" t="s">
        <v>42</v>
      </c>
      <c r="R23" s="5"/>
      <c r="S23" s="41">
        <f>(S16*$B$955)+(S17*$B$956)+(S18*$B$957)+(S19*$B$958)+(S20*$B$959)+(S21*$B$960)+(S22*$B$961)</f>
        <v>0</v>
      </c>
      <c r="T23" s="16"/>
      <c r="U23" s="38" t="s">
        <v>42</v>
      </c>
      <c r="V23" s="5"/>
      <c r="W23" s="41">
        <f>(W16*$B$955)+(W17*$B$956)+(W18*$B$957)+(W19*$B$958)+(W20*$B$959)+(W21*$B$960)+(W22*$B$961)</f>
        <v>23.5</v>
      </c>
      <c r="X23" s="16"/>
      <c r="Y23" s="38" t="s">
        <v>42</v>
      </c>
      <c r="Z23" s="5"/>
      <c r="AA23" s="41">
        <f>(AA16*$B$955)+(AA17*$B$956)+(AA18*$B$957)+(AA19*$B$958)+(AA20*$B$959)+(AA21*$B$960)+(AA22*$B$961)</f>
        <v>0</v>
      </c>
      <c r="AB23" s="16"/>
    </row>
    <row r="24" spans="1:30" ht="15.75" customHeight="1">
      <c r="A24" s="47" t="s">
        <v>44</v>
      </c>
      <c r="B24" s="5"/>
      <c r="C24" s="48" t="s">
        <v>45</v>
      </c>
      <c r="D24" s="16"/>
      <c r="E24" s="47" t="s">
        <v>44</v>
      </c>
      <c r="F24" s="5"/>
      <c r="G24" s="22" t="s">
        <v>46</v>
      </c>
      <c r="H24" s="16"/>
      <c r="I24" s="47" t="s">
        <v>44</v>
      </c>
      <c r="J24" s="5"/>
      <c r="K24" s="22" t="s">
        <v>45</v>
      </c>
      <c r="L24" s="16"/>
      <c r="M24" s="47" t="s">
        <v>44</v>
      </c>
      <c r="N24" s="5"/>
      <c r="O24" s="22" t="s">
        <v>45</v>
      </c>
      <c r="P24" s="16"/>
      <c r="Q24" s="47" t="s">
        <v>44</v>
      </c>
      <c r="R24" s="5"/>
      <c r="S24" s="22" t="s">
        <v>47</v>
      </c>
      <c r="T24" s="16"/>
      <c r="U24" s="47" t="s">
        <v>44</v>
      </c>
      <c r="V24" s="5"/>
      <c r="W24" s="22" t="s">
        <v>45</v>
      </c>
      <c r="X24" s="16"/>
      <c r="Y24" s="47" t="s">
        <v>44</v>
      </c>
      <c r="Z24" s="5"/>
      <c r="AA24" s="5"/>
      <c r="AB24" s="16"/>
    </row>
    <row r="25" spans="1:30" ht="15.75" customHeight="1">
      <c r="A25" s="35" t="s">
        <v>48</v>
      </c>
      <c r="B25" s="5"/>
      <c r="C25" s="5" t="str">
        <f>IF(C23&gt;B953, "Positive", "Negative")</f>
        <v>Positive</v>
      </c>
      <c r="D25" s="16"/>
      <c r="E25" s="36" t="s">
        <v>48</v>
      </c>
      <c r="F25" s="5"/>
      <c r="G25" s="5" t="str">
        <f>IF(G23&gt;$B$953, "Positive", "Negative")</f>
        <v>Negative</v>
      </c>
      <c r="H25" s="16"/>
      <c r="I25" s="36" t="s">
        <v>48</v>
      </c>
      <c r="J25" s="5"/>
      <c r="K25" s="5" t="str">
        <f>IF(K23&gt;$B$953, "Positive", "Negative")</f>
        <v>Positive</v>
      </c>
      <c r="L25" s="16"/>
      <c r="M25" s="36" t="s">
        <v>48</v>
      </c>
      <c r="N25" s="5"/>
      <c r="O25" s="5" t="str">
        <f>IF(O23&gt;$B$953, "Positive", "Negative")</f>
        <v>Positive</v>
      </c>
      <c r="P25" s="16"/>
      <c r="Q25" s="36" t="s">
        <v>48</v>
      </c>
      <c r="R25" s="5"/>
      <c r="S25" s="5" t="str">
        <f>IF(S23&gt;$B$953, "Positive", "Negative")</f>
        <v>Negative</v>
      </c>
      <c r="T25" s="16"/>
      <c r="U25" s="36" t="s">
        <v>48</v>
      </c>
      <c r="V25" s="5"/>
      <c r="W25" s="5" t="str">
        <f>IF(W23&gt;$B$953, "Positive", "Negative")</f>
        <v>Positive</v>
      </c>
      <c r="X25" s="16"/>
      <c r="Y25" s="36" t="s">
        <v>48</v>
      </c>
      <c r="Z25" s="5"/>
      <c r="AA25" s="5" t="str">
        <f>IF(AA23&gt;$B$953, "Positive", "Negative")</f>
        <v>Negative</v>
      </c>
      <c r="AB25" s="16"/>
    </row>
    <row r="26" spans="1:30" ht="15.75" customHeight="1">
      <c r="A26" s="35" t="s">
        <v>49</v>
      </c>
      <c r="B26" s="5"/>
      <c r="C26" s="5"/>
      <c r="D26" s="16"/>
      <c r="E26" s="36" t="s">
        <v>49</v>
      </c>
      <c r="F26" s="5"/>
      <c r="G26" s="5"/>
      <c r="H26" s="16"/>
      <c r="I26" s="36" t="s">
        <v>49</v>
      </c>
      <c r="J26" s="5"/>
      <c r="K26" s="22" t="s">
        <v>50</v>
      </c>
      <c r="L26" s="16"/>
      <c r="M26" s="36" t="s">
        <v>49</v>
      </c>
      <c r="N26" s="5"/>
      <c r="O26" s="5"/>
      <c r="P26" s="16"/>
      <c r="Q26" s="36" t="s">
        <v>49</v>
      </c>
      <c r="R26" s="5"/>
      <c r="S26" s="22" t="s">
        <v>51</v>
      </c>
      <c r="T26" s="16"/>
      <c r="U26" s="36" t="s">
        <v>49</v>
      </c>
      <c r="V26" s="5"/>
      <c r="W26" s="5"/>
      <c r="X26" s="16"/>
      <c r="Y26" s="36" t="s">
        <v>49</v>
      </c>
      <c r="Z26" s="5"/>
      <c r="AA26" s="5"/>
      <c r="AB26" s="16"/>
    </row>
    <row r="27" spans="1:30" ht="15.75" customHeight="1">
      <c r="A27" s="15"/>
      <c r="B27" s="15"/>
      <c r="C27" s="15"/>
      <c r="D27" s="49"/>
      <c r="E27" s="27"/>
      <c r="F27" s="5"/>
      <c r="G27" s="5"/>
      <c r="H27" s="16"/>
      <c r="I27" s="27"/>
      <c r="J27" s="5"/>
      <c r="K27" s="5"/>
      <c r="L27" s="16"/>
      <c r="M27" s="27"/>
      <c r="N27" s="5"/>
      <c r="O27" s="5"/>
      <c r="P27" s="16"/>
      <c r="Q27" s="27"/>
      <c r="R27" s="5"/>
      <c r="S27" s="5"/>
      <c r="T27" s="16"/>
      <c r="U27" s="27"/>
      <c r="V27" s="5"/>
      <c r="W27" s="5"/>
      <c r="X27" s="16"/>
      <c r="Y27" s="27"/>
      <c r="Z27" s="5"/>
      <c r="AA27" s="5"/>
      <c r="AB27" s="16"/>
    </row>
    <row r="28" spans="1:30" ht="15.75" customHeight="1">
      <c r="A28" s="15"/>
      <c r="B28" s="15"/>
      <c r="C28" s="15"/>
      <c r="D28" s="49"/>
      <c r="E28" s="27"/>
      <c r="F28" s="5"/>
      <c r="G28" s="5"/>
      <c r="H28" s="16"/>
      <c r="I28" s="27"/>
      <c r="J28" s="5"/>
      <c r="K28" s="5"/>
      <c r="L28" s="16"/>
      <c r="M28" s="27"/>
      <c r="N28" s="5"/>
      <c r="O28" s="5"/>
      <c r="P28" s="16"/>
      <c r="Q28" s="27"/>
      <c r="R28" s="5"/>
      <c r="S28" s="5"/>
      <c r="T28" s="16"/>
      <c r="U28" s="27"/>
      <c r="V28" s="5"/>
      <c r="W28" s="5"/>
      <c r="X28" s="16"/>
      <c r="Y28" s="27"/>
      <c r="Z28" s="5"/>
      <c r="AA28" s="5"/>
      <c r="AB28" s="16"/>
    </row>
    <row r="29" spans="1:30" ht="15.75" customHeight="1">
      <c r="A29" s="5" t="s">
        <v>32</v>
      </c>
      <c r="B29" s="5"/>
      <c r="C29" s="25" t="str">
        <f>RIGHT(A8, LEN(A8)-FIND("-", A8))</f>
        <v>Skyline</v>
      </c>
      <c r="D29" s="16"/>
      <c r="E29" s="27" t="s">
        <v>32</v>
      </c>
      <c r="F29" s="5"/>
      <c r="G29" s="25" t="str">
        <f>RIGHT(E8, LEN(E8)-FIND("-", E8))</f>
        <v>Arkham</v>
      </c>
      <c r="H29" s="16"/>
      <c r="I29" s="27" t="s">
        <v>32</v>
      </c>
      <c r="J29" s="5"/>
      <c r="K29" s="25" t="str">
        <f>RIGHT(I8, LEN(I8)-FIND("-", I8))</f>
        <v>Altair</v>
      </c>
      <c r="L29" s="16"/>
      <c r="M29" s="27" t="s">
        <v>32</v>
      </c>
      <c r="N29" s="5"/>
      <c r="O29" s="25" t="str">
        <f>RIGHT(M8, LEN(M8)-FIND("-", M8))</f>
        <v>Cherif</v>
      </c>
      <c r="P29" s="16"/>
      <c r="Q29" s="27" t="s">
        <v>32</v>
      </c>
      <c r="R29" s="5"/>
      <c r="S29" s="25" t="str">
        <f>RIGHT(Q8, LEN(Q8)-FIND("-", Q8))</f>
        <v>Harun</v>
      </c>
      <c r="T29" s="16"/>
      <c r="U29" s="27" t="s">
        <v>32</v>
      </c>
      <c r="V29" s="5"/>
      <c r="W29" s="25" t="str">
        <f>RIGHT(U8, LEN(U8)-FIND("-", U8))</f>
        <v>SalgaG</v>
      </c>
      <c r="X29" s="16"/>
      <c r="Y29" s="27" t="s">
        <v>32</v>
      </c>
      <c r="Z29" s="5"/>
      <c r="AA29" s="25" t="e">
        <f>RIGHT(Y8, LEN(Y8)-FIND("-", Y8))</f>
        <v>#VALUE!</v>
      </c>
      <c r="AB29" s="16"/>
    </row>
    <row r="30" spans="1:30" ht="15.75" customHeight="1">
      <c r="A30" s="5" t="s">
        <v>33</v>
      </c>
      <c r="B30" s="5"/>
      <c r="C30" s="28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6"/>
      <c r="E30" s="27" t="s">
        <v>33</v>
      </c>
      <c r="F30" s="5"/>
      <c r="G30" s="28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0" s="16"/>
      <c r="I30" s="27" t="s">
        <v>33</v>
      </c>
      <c r="J30" s="5"/>
      <c r="K30" s="28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Studen"&amp;"t"",))))))"),"Specialist")</f>
        <v>Specialist</v>
      </c>
      <c r="L30" s="16"/>
      <c r="M30" s="27" t="s">
        <v>33</v>
      </c>
      <c r="N30" s="5"/>
      <c r="O30" s="28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Studen"&amp;"t"",))))))"),"Private")</f>
        <v>Private</v>
      </c>
      <c r="P30" s="16"/>
      <c r="Q30" s="27" t="s">
        <v>33</v>
      </c>
      <c r="R30" s="5"/>
      <c r="S30" s="28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Studen"&amp;"t"",))))))"),"Private First Class")</f>
        <v>Private First Class</v>
      </c>
      <c r="T30" s="16"/>
      <c r="U30" s="27" t="s">
        <v>33</v>
      </c>
      <c r="V30" s="5"/>
      <c r="W30" s="28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Studen"&amp;"t"",))))))"),"Private First Class")</f>
        <v>Private First Class</v>
      </c>
      <c r="X30" s="16"/>
      <c r="Y30" s="27" t="s">
        <v>33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16"/>
    </row>
    <row r="31" spans="1:30" ht="15.75" customHeight="1">
      <c r="A31" s="5" t="s">
        <v>34</v>
      </c>
      <c r="B31" s="5"/>
      <c r="C31" s="5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""No-Lifer""))))))"),"No-Lifer")</f>
        <v>No-Lifer</v>
      </c>
      <c r="D31" s="16"/>
      <c r="E31" s="27" t="s">
        <v>34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16"/>
      <c r="I31" s="27" t="s">
        <v>34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""No-Lif"&amp;"er""))))))"),"No-Lifer")</f>
        <v>No-Lifer</v>
      </c>
      <c r="L31" s="16"/>
      <c r="M31" s="27" t="s">
        <v>34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""No-Lif"&amp;"er""))))))"),"LOA")</f>
        <v>LOA</v>
      </c>
      <c r="P31" s="16"/>
      <c r="Q31" s="27" t="s">
        <v>34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""No-Lif"&amp;"er""))))))"),"No-Lifer")</f>
        <v>No-Lifer</v>
      </c>
      <c r="T31" s="16"/>
      <c r="U31" s="27" t="s">
        <v>34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""No-Lif"&amp;"er""))))))"),"Active")</f>
        <v>Active</v>
      </c>
      <c r="X31" s="16"/>
      <c r="Y31" s="27" t="s">
        <v>34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16"/>
    </row>
    <row r="32" spans="1:30" ht="15.75" customHeight="1">
      <c r="A32" s="31" t="s">
        <v>35</v>
      </c>
      <c r="B32" s="5"/>
      <c r="C32" s="34">
        <v>1</v>
      </c>
      <c r="D32" s="16"/>
      <c r="E32" s="33" t="s">
        <v>35</v>
      </c>
      <c r="F32" s="5"/>
      <c r="G32" s="22">
        <v>0</v>
      </c>
      <c r="H32" s="16"/>
      <c r="I32" s="33" t="s">
        <v>35</v>
      </c>
      <c r="J32" s="5"/>
      <c r="K32" s="22">
        <v>0</v>
      </c>
      <c r="L32" s="16"/>
      <c r="M32" s="33" t="s">
        <v>35</v>
      </c>
      <c r="N32" s="5"/>
      <c r="O32" s="22">
        <v>0</v>
      </c>
      <c r="P32" s="16"/>
      <c r="Q32" s="33" t="s">
        <v>35</v>
      </c>
      <c r="R32" s="5"/>
      <c r="S32" s="22">
        <v>0</v>
      </c>
      <c r="T32" s="16"/>
      <c r="U32" s="33" t="s">
        <v>35</v>
      </c>
      <c r="V32" s="5"/>
      <c r="W32" s="22">
        <v>0</v>
      </c>
      <c r="X32" s="16"/>
      <c r="Y32" s="33" t="s">
        <v>35</v>
      </c>
      <c r="Z32" s="5"/>
      <c r="AA32" s="5"/>
      <c r="AB32" s="16"/>
    </row>
    <row r="33" spans="1:28" ht="15.75" customHeight="1">
      <c r="A33" s="31" t="s">
        <v>36</v>
      </c>
      <c r="B33" s="5"/>
      <c r="C33" s="34">
        <v>0</v>
      </c>
      <c r="D33" s="16"/>
      <c r="E33" s="33" t="s">
        <v>36</v>
      </c>
      <c r="F33" s="5"/>
      <c r="G33" s="22">
        <v>0</v>
      </c>
      <c r="H33" s="16"/>
      <c r="I33" s="33" t="s">
        <v>36</v>
      </c>
      <c r="J33" s="5"/>
      <c r="K33" s="22">
        <v>0</v>
      </c>
      <c r="L33" s="16"/>
      <c r="M33" s="33" t="s">
        <v>36</v>
      </c>
      <c r="N33" s="5"/>
      <c r="O33" s="22">
        <v>0</v>
      </c>
      <c r="P33" s="16"/>
      <c r="Q33" s="33" t="s">
        <v>36</v>
      </c>
      <c r="R33" s="5"/>
      <c r="S33" s="22">
        <v>0</v>
      </c>
      <c r="T33" s="16"/>
      <c r="U33" s="33" t="s">
        <v>36</v>
      </c>
      <c r="V33" s="5"/>
      <c r="W33" s="22">
        <v>0</v>
      </c>
      <c r="X33" s="16"/>
      <c r="Y33" s="33" t="s">
        <v>36</v>
      </c>
      <c r="Z33" s="5"/>
      <c r="AA33" s="5"/>
      <c r="AB33" s="16"/>
    </row>
    <row r="34" spans="1:28" ht="15.75" customHeight="1">
      <c r="A34" s="35" t="s">
        <v>37</v>
      </c>
      <c r="B34" s="5"/>
      <c r="C34" s="34">
        <v>0</v>
      </c>
      <c r="D34" s="16"/>
      <c r="E34" s="36" t="s">
        <v>37</v>
      </c>
      <c r="F34" s="5"/>
      <c r="G34" s="22">
        <v>0</v>
      </c>
      <c r="H34" s="16"/>
      <c r="I34" s="36" t="s">
        <v>37</v>
      </c>
      <c r="J34" s="5"/>
      <c r="K34" s="22">
        <v>0</v>
      </c>
      <c r="L34" s="16"/>
      <c r="M34" s="36" t="s">
        <v>37</v>
      </c>
      <c r="N34" s="5"/>
      <c r="O34" s="22">
        <v>0</v>
      </c>
      <c r="P34" s="16"/>
      <c r="Q34" s="36" t="s">
        <v>37</v>
      </c>
      <c r="R34" s="5"/>
      <c r="S34" s="22">
        <v>0</v>
      </c>
      <c r="T34" s="16"/>
      <c r="U34" s="36" t="s">
        <v>37</v>
      </c>
      <c r="V34" s="5"/>
      <c r="W34" s="22">
        <v>0</v>
      </c>
      <c r="X34" s="16"/>
      <c r="Y34" s="36" t="s">
        <v>37</v>
      </c>
      <c r="Z34" s="5"/>
      <c r="AA34" s="5"/>
      <c r="AB34" s="16"/>
    </row>
    <row r="35" spans="1:28" ht="15.75" customHeight="1">
      <c r="A35" s="35" t="s">
        <v>38</v>
      </c>
      <c r="B35" s="5"/>
      <c r="C35" s="34">
        <v>1</v>
      </c>
      <c r="D35" s="16"/>
      <c r="E35" s="36" t="s">
        <v>38</v>
      </c>
      <c r="F35" s="5"/>
      <c r="G35" s="22">
        <v>0</v>
      </c>
      <c r="H35" s="16"/>
      <c r="I35" s="36" t="s">
        <v>38</v>
      </c>
      <c r="J35" s="5"/>
      <c r="K35" s="22">
        <v>1</v>
      </c>
      <c r="L35" s="16"/>
      <c r="M35" s="36" t="s">
        <v>38</v>
      </c>
      <c r="N35" s="5"/>
      <c r="O35" s="22">
        <v>0</v>
      </c>
      <c r="P35" s="16"/>
      <c r="Q35" s="36" t="s">
        <v>38</v>
      </c>
      <c r="R35" s="5"/>
      <c r="S35" s="22">
        <v>2</v>
      </c>
      <c r="T35" s="16"/>
      <c r="U35" s="36" t="s">
        <v>38</v>
      </c>
      <c r="V35" s="5"/>
      <c r="W35" s="22">
        <v>0</v>
      </c>
      <c r="X35" s="16"/>
      <c r="Y35" s="36" t="s">
        <v>38</v>
      </c>
      <c r="Z35" s="5"/>
      <c r="AA35" s="5"/>
      <c r="AB35" s="16"/>
    </row>
    <row r="36" spans="1:28" ht="15.75" customHeight="1">
      <c r="A36" s="35" t="s">
        <v>39</v>
      </c>
      <c r="B36" s="5"/>
      <c r="C36" s="34">
        <v>3</v>
      </c>
      <c r="D36" s="16"/>
      <c r="E36" s="36" t="s">
        <v>39</v>
      </c>
      <c r="F36" s="5"/>
      <c r="G36" s="22">
        <v>10</v>
      </c>
      <c r="H36" s="16"/>
      <c r="I36" s="36" t="s">
        <v>39</v>
      </c>
      <c r="J36" s="5"/>
      <c r="K36" s="22">
        <v>3</v>
      </c>
      <c r="L36" s="16"/>
      <c r="M36" s="36" t="s">
        <v>39</v>
      </c>
      <c r="N36" s="5"/>
      <c r="O36" s="22">
        <v>0</v>
      </c>
      <c r="P36" s="16"/>
      <c r="Q36" s="36" t="s">
        <v>39</v>
      </c>
      <c r="R36" s="5"/>
      <c r="S36" s="22">
        <v>9</v>
      </c>
      <c r="T36" s="16"/>
      <c r="U36" s="36" t="s">
        <v>39</v>
      </c>
      <c r="V36" s="5"/>
      <c r="W36" s="22">
        <v>5</v>
      </c>
      <c r="X36" s="16"/>
      <c r="Y36" s="36" t="s">
        <v>39</v>
      </c>
      <c r="Z36" s="5"/>
      <c r="AA36" s="5"/>
      <c r="AB36" s="16"/>
    </row>
    <row r="37" spans="1:28" ht="15.75" customHeight="1">
      <c r="A37" s="37" t="s">
        <v>40</v>
      </c>
      <c r="B37" s="5"/>
      <c r="C37" s="34">
        <v>0</v>
      </c>
      <c r="D37" s="16"/>
      <c r="E37" s="38" t="s">
        <v>40</v>
      </c>
      <c r="F37" s="5"/>
      <c r="G37" s="22">
        <v>0</v>
      </c>
      <c r="H37" s="16"/>
      <c r="I37" s="38" t="s">
        <v>40</v>
      </c>
      <c r="J37" s="5"/>
      <c r="K37" s="22">
        <v>2</v>
      </c>
      <c r="L37" s="16"/>
      <c r="M37" s="38" t="s">
        <v>40</v>
      </c>
      <c r="N37" s="5"/>
      <c r="O37" s="22">
        <v>0</v>
      </c>
      <c r="P37" s="16"/>
      <c r="Q37" s="38" t="s">
        <v>40</v>
      </c>
      <c r="R37" s="5"/>
      <c r="S37" s="22">
        <v>1</v>
      </c>
      <c r="T37" s="16"/>
      <c r="U37" s="38" t="s">
        <v>40</v>
      </c>
      <c r="V37" s="5"/>
      <c r="W37" s="22">
        <v>1</v>
      </c>
      <c r="X37" s="16"/>
      <c r="Y37" s="38" t="s">
        <v>40</v>
      </c>
      <c r="Z37" s="5"/>
      <c r="AA37" s="5"/>
      <c r="AB37" s="16"/>
    </row>
    <row r="38" spans="1:28" ht="15.75" customHeight="1">
      <c r="A38" s="35" t="s">
        <v>41</v>
      </c>
      <c r="B38" s="5"/>
      <c r="C38" s="34">
        <v>4</v>
      </c>
      <c r="D38" s="16"/>
      <c r="E38" s="36" t="s">
        <v>41</v>
      </c>
      <c r="F38" s="5"/>
      <c r="G38" s="22">
        <v>1</v>
      </c>
      <c r="H38" s="16"/>
      <c r="I38" s="36" t="s">
        <v>41</v>
      </c>
      <c r="J38" s="5"/>
      <c r="K38" s="22">
        <v>2</v>
      </c>
      <c r="L38" s="16"/>
      <c r="M38" s="36" t="s">
        <v>41</v>
      </c>
      <c r="N38" s="5"/>
      <c r="O38" s="22">
        <v>0</v>
      </c>
      <c r="P38" s="16"/>
      <c r="Q38" s="36" t="s">
        <v>41</v>
      </c>
      <c r="R38" s="5"/>
      <c r="S38" s="22">
        <v>5</v>
      </c>
      <c r="T38" s="16"/>
      <c r="U38" s="36" t="s">
        <v>41</v>
      </c>
      <c r="V38" s="5"/>
      <c r="W38" s="22">
        <v>0</v>
      </c>
      <c r="X38" s="16"/>
      <c r="Y38" s="36" t="s">
        <v>41</v>
      </c>
      <c r="Z38" s="5"/>
      <c r="AA38" s="5"/>
      <c r="AB38" s="16"/>
    </row>
    <row r="39" spans="1:28">
      <c r="A39" s="37" t="s">
        <v>42</v>
      </c>
      <c r="B39" s="5"/>
      <c r="C39" s="52">
        <f>(C32*B955)+(C33*B956)+(C34*B957)+(C35*B958)+(C36*B959)+(C37*B960)+(C38*B961)</f>
        <v>16.5</v>
      </c>
      <c r="D39" s="16"/>
      <c r="E39" s="38" t="s">
        <v>42</v>
      </c>
      <c r="F39" s="5"/>
      <c r="G39" s="29">
        <f>(G32*$B$955)+(G33*$B$956)+(G34*$B$957)+(G35*$B$958)+(G36*$B$959)+(G37*$B$960)+(G38*$B$961)</f>
        <v>12</v>
      </c>
      <c r="H39" s="16"/>
      <c r="I39" s="38" t="s">
        <v>42</v>
      </c>
      <c r="J39" s="5"/>
      <c r="K39" s="29">
        <f>(K32*$B$955)+(K33*$B$956)+(K34*$B$957)+(K35*$B$958)+(K36*$B$959)+(K37*$B$960)+(K38*$B$961)</f>
        <v>16.5</v>
      </c>
      <c r="L39" s="16"/>
      <c r="M39" s="38" t="s">
        <v>42</v>
      </c>
      <c r="N39" s="5"/>
      <c r="O39" s="29">
        <f>(O32*$B$955)+(O33*$B$956)+(O34*$B$957)+(O35*$B$958)+(O36*$B$959)+(O37*$B$960)+(O38*$B$961)</f>
        <v>0</v>
      </c>
      <c r="P39" s="16"/>
      <c r="Q39" s="38" t="s">
        <v>42</v>
      </c>
      <c r="R39" s="5"/>
      <c r="S39" s="29">
        <f>(S32*$B$955)+(S33*$B$956)+(S34*$B$957)+(S35*$B$958)+(S36*$B$959)+(S37*$B$960)+(S38*$B$961)</f>
        <v>26</v>
      </c>
      <c r="T39" s="16"/>
      <c r="U39" s="38" t="s">
        <v>42</v>
      </c>
      <c r="V39" s="5"/>
      <c r="W39" s="29">
        <f>(W32*$B$955)+(W33*$B$956)+(W34*$B$957)+(W35*$B$958)+(W36*$B$959)+(W37*$B$960)+(W38*$B$961)</f>
        <v>9</v>
      </c>
      <c r="X39" s="16"/>
      <c r="Y39" s="38" t="s">
        <v>42</v>
      </c>
      <c r="Z39" s="5"/>
      <c r="AA39" s="29">
        <f>(AA32*$B$955)+(AA33*$B$956)+(AA34*$B$957)+(AA35*$B$958)+(AA36*$B$959)+(AA37*$B$960)+(AA38*$B$961)</f>
        <v>0</v>
      </c>
      <c r="AB39" s="16"/>
    </row>
    <row r="40" spans="1:28" ht="15.75" customHeight="1">
      <c r="A40" s="47" t="s">
        <v>44</v>
      </c>
      <c r="B40" s="5"/>
      <c r="C40" s="22" t="s">
        <v>45</v>
      </c>
      <c r="D40" s="16"/>
      <c r="E40" s="47" t="s">
        <v>44</v>
      </c>
      <c r="F40" s="5"/>
      <c r="G40" s="22" t="s">
        <v>45</v>
      </c>
      <c r="H40" s="16"/>
      <c r="I40" s="47" t="s">
        <v>44</v>
      </c>
      <c r="J40" s="5"/>
      <c r="K40" s="22" t="s">
        <v>45</v>
      </c>
      <c r="L40" s="16"/>
      <c r="M40" s="47" t="s">
        <v>44</v>
      </c>
      <c r="N40" s="5"/>
      <c r="O40" s="22" t="s">
        <v>54</v>
      </c>
      <c r="P40" s="16"/>
      <c r="Q40" s="47" t="s">
        <v>44</v>
      </c>
      <c r="R40" s="5"/>
      <c r="S40" s="22" t="s">
        <v>55</v>
      </c>
      <c r="T40" s="16"/>
      <c r="U40" s="47" t="s">
        <v>44</v>
      </c>
      <c r="V40" s="5"/>
      <c r="W40" s="5"/>
      <c r="X40" s="16"/>
      <c r="Y40" s="47" t="s">
        <v>44</v>
      </c>
      <c r="Z40" s="5"/>
      <c r="AA40" s="5"/>
      <c r="AB40" s="16"/>
    </row>
    <row r="41" spans="1:28" ht="15.75" customHeight="1">
      <c r="A41" s="35" t="s">
        <v>48</v>
      </c>
      <c r="B41" s="5"/>
      <c r="C41" s="5" t="str">
        <f>IF(C39&gt;B953, "Positive", "Negative")</f>
        <v>Positive</v>
      </c>
      <c r="D41" s="16"/>
      <c r="E41" s="36" t="s">
        <v>48</v>
      </c>
      <c r="F41" s="5"/>
      <c r="G41" s="5" t="str">
        <f>IF(G39&gt;$B$953, "Positive", "Negative")</f>
        <v>Positive</v>
      </c>
      <c r="H41" s="16"/>
      <c r="I41" s="36" t="s">
        <v>48</v>
      </c>
      <c r="J41" s="5"/>
      <c r="K41" s="5" t="str">
        <f>IF(K39&gt;$B$953, "Positive", "Negative")</f>
        <v>Positive</v>
      </c>
      <c r="L41" s="16"/>
      <c r="M41" s="36" t="s">
        <v>48</v>
      </c>
      <c r="N41" s="5"/>
      <c r="O41" s="5" t="str">
        <f>IF(O39&gt;$B$953, "Positive", "Negative")</f>
        <v>Negative</v>
      </c>
      <c r="P41" s="16"/>
      <c r="Q41" s="36" t="s">
        <v>48</v>
      </c>
      <c r="R41" s="5"/>
      <c r="S41" s="5" t="str">
        <f>IF(S39&gt;$B$953, "Positive", "Negative")</f>
        <v>Positive</v>
      </c>
      <c r="T41" s="16"/>
      <c r="U41" s="36" t="s">
        <v>48</v>
      </c>
      <c r="V41" s="5"/>
      <c r="W41" s="5" t="str">
        <f>IF(W39&gt;$B$953, "Positive", "Negative")</f>
        <v>Positive</v>
      </c>
      <c r="X41" s="16"/>
      <c r="Y41" s="36" t="s">
        <v>48</v>
      </c>
      <c r="Z41" s="5"/>
      <c r="AA41" s="5" t="str">
        <f>IF(AA39&gt;$B$953, "Positive", "Negative")</f>
        <v>Negative</v>
      </c>
      <c r="AB41" s="16"/>
    </row>
    <row r="42" spans="1:28" ht="15.75" customHeight="1">
      <c r="A42" s="35" t="s">
        <v>49</v>
      </c>
      <c r="B42" s="5"/>
      <c r="C42" s="5"/>
      <c r="D42" s="16"/>
      <c r="E42" s="36" t="s">
        <v>49</v>
      </c>
      <c r="F42" s="5"/>
      <c r="G42" s="5"/>
      <c r="H42" s="16"/>
      <c r="I42" s="36" t="s">
        <v>49</v>
      </c>
      <c r="J42" s="5"/>
      <c r="K42" s="22" t="s">
        <v>50</v>
      </c>
      <c r="L42" s="16"/>
      <c r="M42" s="36" t="s">
        <v>49</v>
      </c>
      <c r="N42" s="5"/>
      <c r="O42" s="5"/>
      <c r="P42" s="16"/>
      <c r="Q42" s="36" t="s">
        <v>49</v>
      </c>
      <c r="R42" s="5"/>
      <c r="S42" s="5"/>
      <c r="T42" s="16"/>
      <c r="U42" s="36" t="s">
        <v>49</v>
      </c>
      <c r="V42" s="5"/>
      <c r="W42" s="5"/>
      <c r="X42" s="16"/>
      <c r="Y42" s="36" t="s">
        <v>49</v>
      </c>
      <c r="Z42" s="5"/>
      <c r="AA42" s="5"/>
      <c r="AB42" s="16"/>
    </row>
    <row r="43" spans="1:28" ht="15.75" customHeight="1">
      <c r="A43" s="15"/>
      <c r="B43" s="15"/>
      <c r="C43" s="15"/>
      <c r="D43" s="49"/>
      <c r="E43" s="27"/>
      <c r="F43" s="5"/>
      <c r="G43" s="5"/>
      <c r="H43" s="16"/>
      <c r="I43" s="27"/>
      <c r="J43" s="5"/>
      <c r="K43" s="5"/>
      <c r="L43" s="16"/>
      <c r="M43" s="27"/>
      <c r="N43" s="5"/>
      <c r="O43" s="5"/>
      <c r="P43" s="16"/>
      <c r="Q43" s="27"/>
      <c r="R43" s="5"/>
      <c r="S43" s="5"/>
      <c r="T43" s="16"/>
      <c r="U43" s="27"/>
      <c r="V43" s="5"/>
      <c r="W43" s="5"/>
      <c r="X43" s="16"/>
      <c r="Y43" s="27"/>
      <c r="Z43" s="5"/>
      <c r="AA43" s="5"/>
      <c r="AB43" s="16"/>
    </row>
    <row r="44" spans="1:28" ht="15.75" customHeight="1">
      <c r="A44" s="15"/>
      <c r="B44" s="15"/>
      <c r="C44" s="15"/>
      <c r="D44" s="49"/>
      <c r="E44" s="27"/>
      <c r="F44" s="5"/>
      <c r="G44" s="5"/>
      <c r="H44" s="16"/>
      <c r="I44" s="27"/>
      <c r="J44" s="5"/>
      <c r="K44" s="5"/>
      <c r="L44" s="16"/>
      <c r="M44" s="27"/>
      <c r="N44" s="5"/>
      <c r="O44" s="5"/>
      <c r="P44" s="16"/>
      <c r="Q44" s="27"/>
      <c r="R44" s="5"/>
      <c r="S44" s="5"/>
      <c r="T44" s="16"/>
      <c r="U44" s="27"/>
      <c r="V44" s="5"/>
      <c r="W44" s="5"/>
      <c r="X44" s="16"/>
      <c r="Y44" s="27"/>
      <c r="Z44" s="5"/>
      <c r="AA44" s="5"/>
      <c r="AB44" s="16"/>
    </row>
    <row r="45" spans="1:28" ht="15.75" customHeight="1">
      <c r="A45" s="5" t="s">
        <v>32</v>
      </c>
      <c r="B45" s="5"/>
      <c r="C45" s="25" t="str">
        <f>RIGHT(A9, LEN(A9)-FIND("-", A9))</f>
        <v>TaklaciBaykus</v>
      </c>
      <c r="D45" s="16"/>
      <c r="E45" s="27" t="s">
        <v>32</v>
      </c>
      <c r="F45" s="5"/>
      <c r="G45" s="25" t="str">
        <f>RIGHT(E9, LEN(E9)-FIND("-", E9))</f>
        <v>DaFlaky</v>
      </c>
      <c r="H45" s="16"/>
      <c r="I45" s="27" t="s">
        <v>32</v>
      </c>
      <c r="J45" s="5"/>
      <c r="K45" s="25" t="str">
        <f>RIGHT(I9, LEN(I9)-FIND("-", I9))</f>
        <v>Greaten</v>
      </c>
      <c r="L45" s="16"/>
      <c r="M45" s="27" t="s">
        <v>32</v>
      </c>
      <c r="N45" s="5"/>
      <c r="O45" s="25" t="str">
        <f>RIGHT(M9, LEN(M9)-FIND("-", M9))</f>
        <v>Atthenum</v>
      </c>
      <c r="P45" s="16"/>
      <c r="Q45" s="27" t="s">
        <v>32</v>
      </c>
      <c r="R45" s="5"/>
      <c r="S45" s="25" t="str">
        <f>RIGHT(Q9, LEN(Q9)-FIND("-", Q9))</f>
        <v>Dudu</v>
      </c>
      <c r="T45" s="16"/>
      <c r="U45" s="27" t="s">
        <v>32</v>
      </c>
      <c r="V45" s="5"/>
      <c r="W45" s="25" t="e">
        <f>RIGHT(U9, LEN(U9)-FIND("-", U9))</f>
        <v>#VALUE!</v>
      </c>
      <c r="X45" s="16"/>
      <c r="Y45" s="27" t="s">
        <v>32</v>
      </c>
      <c r="Z45" s="5"/>
      <c r="AA45" s="25" t="e">
        <f>RIGHT(Y9, LEN(Y9)-FIND("-", Y9))</f>
        <v>#VALUE!</v>
      </c>
      <c r="AB45" s="16"/>
    </row>
    <row r="46" spans="1:28" ht="15.75" customHeight="1">
      <c r="A46" s="5" t="s">
        <v>33</v>
      </c>
      <c r="B46" s="5"/>
      <c r="C46" s="28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Studen"&amp;"t"",))))))"),"Private First Class")</f>
        <v>Private First Class</v>
      </c>
      <c r="D46" s="16"/>
      <c r="E46" s="27" t="s">
        <v>33</v>
      </c>
      <c r="F46" s="5"/>
      <c r="G46" s="28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Studen"&amp;"t"",))))))"),"Recruit")</f>
        <v>Recruit</v>
      </c>
      <c r="H46" s="16"/>
      <c r="I46" s="27" t="s">
        <v>33</v>
      </c>
      <c r="J46" s="5"/>
      <c r="K46" s="28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Studen"&amp;"t"",))))))"),"Specialist")</f>
        <v>Specialist</v>
      </c>
      <c r="L46" s="16"/>
      <c r="M46" s="27" t="s">
        <v>33</v>
      </c>
      <c r="N46" s="5"/>
      <c r="O46" s="28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Studen"&amp;"t"",))))))"),"Private First Class")</f>
        <v>Private First Class</v>
      </c>
      <c r="P46" s="16"/>
      <c r="Q46" s="27" t="s">
        <v>33</v>
      </c>
      <c r="R46" s="5"/>
      <c r="S46" s="28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Studen"&amp;"t"",))))))"),"Corporal")</f>
        <v>Corporal</v>
      </c>
      <c r="T46" s="16"/>
      <c r="U46" s="27" t="s">
        <v>33</v>
      </c>
      <c r="V46" s="5"/>
      <c r="W46" s="28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6" s="16"/>
      <c r="Y46" s="27" t="s">
        <v>33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16"/>
    </row>
    <row r="47" spans="1:28" ht="15.75" customHeight="1">
      <c r="A47" s="5" t="s">
        <v>34</v>
      </c>
      <c r="B47" s="5"/>
      <c r="C47" s="5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""No-Lifer""))))))"),"No-Lifer")</f>
        <v>No-Lifer</v>
      </c>
      <c r="D47" s="16"/>
      <c r="E47" s="27" t="s">
        <v>34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""No-Lif"&amp;"er""))))))"),"Inactive")</f>
        <v>Inactive</v>
      </c>
      <c r="H47" s="16"/>
      <c r="I47" s="27" t="s">
        <v>34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""No-Lif"&amp;"er""))))))"),"No-Lifer")</f>
        <v>No-Lifer</v>
      </c>
      <c r="L47" s="16"/>
      <c r="M47" s="27" t="s">
        <v>34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""No-Lif"&amp;"er""))))))"),"Active")</f>
        <v>Active</v>
      </c>
      <c r="P47" s="16"/>
      <c r="Q47" s="27" t="s">
        <v>34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""No-Lif"&amp;"er""))))))"),"Active")</f>
        <v>Active</v>
      </c>
      <c r="T47" s="16"/>
      <c r="U47" s="27" t="s">
        <v>34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""No-Lif"&amp;"er""))))))"),"#VALUE!")</f>
        <v>#VALUE!</v>
      </c>
      <c r="X47" s="16"/>
      <c r="Y47" s="27" t="s">
        <v>34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16"/>
    </row>
    <row r="48" spans="1:28" ht="15.75" customHeight="1">
      <c r="A48" s="31" t="s">
        <v>35</v>
      </c>
      <c r="B48" s="5"/>
      <c r="C48" s="34">
        <v>0</v>
      </c>
      <c r="D48" s="16"/>
      <c r="E48" s="33" t="s">
        <v>35</v>
      </c>
      <c r="F48" s="5"/>
      <c r="G48" s="34">
        <v>0</v>
      </c>
      <c r="H48" s="16"/>
      <c r="I48" s="33" t="s">
        <v>35</v>
      </c>
      <c r="J48" s="5"/>
      <c r="K48" s="34">
        <v>0</v>
      </c>
      <c r="L48" s="16"/>
      <c r="M48" s="33" t="s">
        <v>35</v>
      </c>
      <c r="N48" s="5"/>
      <c r="O48" s="34">
        <v>0</v>
      </c>
      <c r="P48" s="16"/>
      <c r="Q48" s="33" t="s">
        <v>35</v>
      </c>
      <c r="R48" s="5"/>
      <c r="S48" s="34">
        <v>0</v>
      </c>
      <c r="T48" s="16"/>
      <c r="U48" s="33" t="s">
        <v>35</v>
      </c>
      <c r="V48" s="5"/>
      <c r="W48" s="21"/>
      <c r="X48" s="16"/>
      <c r="Y48" s="33" t="s">
        <v>35</v>
      </c>
      <c r="Z48" s="5"/>
      <c r="AA48" s="21"/>
      <c r="AB48" s="16"/>
    </row>
    <row r="49" spans="1:28" ht="15.75" customHeight="1">
      <c r="A49" s="31" t="s">
        <v>36</v>
      </c>
      <c r="B49" s="5"/>
      <c r="C49" s="34">
        <v>0</v>
      </c>
      <c r="D49" s="16"/>
      <c r="E49" s="33" t="s">
        <v>36</v>
      </c>
      <c r="F49" s="5"/>
      <c r="G49" s="34">
        <v>0</v>
      </c>
      <c r="H49" s="16"/>
      <c r="I49" s="33" t="s">
        <v>36</v>
      </c>
      <c r="J49" s="5"/>
      <c r="K49" s="34">
        <v>0</v>
      </c>
      <c r="L49" s="16"/>
      <c r="M49" s="33" t="s">
        <v>36</v>
      </c>
      <c r="N49" s="5"/>
      <c r="O49" s="22">
        <v>0</v>
      </c>
      <c r="P49" s="16"/>
      <c r="Q49" s="33" t="s">
        <v>36</v>
      </c>
      <c r="R49" s="5"/>
      <c r="S49" s="22">
        <v>0</v>
      </c>
      <c r="T49" s="16"/>
      <c r="U49" s="33" t="s">
        <v>36</v>
      </c>
      <c r="V49" s="5"/>
      <c r="W49" s="5"/>
      <c r="X49" s="16"/>
      <c r="Y49" s="33" t="s">
        <v>36</v>
      </c>
      <c r="Z49" s="5"/>
      <c r="AA49" s="5"/>
      <c r="AB49" s="16"/>
    </row>
    <row r="50" spans="1:28" ht="15.75" customHeight="1">
      <c r="A50" s="35" t="s">
        <v>37</v>
      </c>
      <c r="B50" s="5"/>
      <c r="C50" s="34">
        <v>0</v>
      </c>
      <c r="D50" s="16"/>
      <c r="E50" s="36" t="s">
        <v>37</v>
      </c>
      <c r="F50" s="5"/>
      <c r="G50" s="34">
        <v>0</v>
      </c>
      <c r="H50" s="16"/>
      <c r="I50" s="36" t="s">
        <v>37</v>
      </c>
      <c r="J50" s="5"/>
      <c r="K50" s="34">
        <v>1</v>
      </c>
      <c r="L50" s="16"/>
      <c r="M50" s="36" t="s">
        <v>37</v>
      </c>
      <c r="N50" s="5"/>
      <c r="O50" s="22">
        <v>0</v>
      </c>
      <c r="P50" s="16"/>
      <c r="Q50" s="36" t="s">
        <v>37</v>
      </c>
      <c r="R50" s="5"/>
      <c r="S50" s="22">
        <v>0</v>
      </c>
      <c r="T50" s="16"/>
      <c r="U50" s="36" t="s">
        <v>37</v>
      </c>
      <c r="V50" s="5"/>
      <c r="W50" s="5"/>
      <c r="X50" s="16"/>
      <c r="Y50" s="36" t="s">
        <v>37</v>
      </c>
      <c r="Z50" s="5"/>
      <c r="AA50" s="5"/>
      <c r="AB50" s="16"/>
    </row>
    <row r="51" spans="1:28" ht="15.75" customHeight="1">
      <c r="A51" s="35" t="s">
        <v>38</v>
      </c>
      <c r="B51" s="5"/>
      <c r="C51" s="34">
        <v>5</v>
      </c>
      <c r="D51" s="16"/>
      <c r="E51" s="36" t="s">
        <v>38</v>
      </c>
      <c r="F51" s="5"/>
      <c r="G51" s="34">
        <v>0</v>
      </c>
      <c r="H51" s="16"/>
      <c r="I51" s="36" t="s">
        <v>38</v>
      </c>
      <c r="J51" s="5"/>
      <c r="K51" s="34">
        <v>4</v>
      </c>
      <c r="L51" s="16"/>
      <c r="M51" s="36" t="s">
        <v>38</v>
      </c>
      <c r="N51" s="5"/>
      <c r="O51" s="34">
        <v>3</v>
      </c>
      <c r="P51" s="16"/>
      <c r="Q51" s="36" t="s">
        <v>38</v>
      </c>
      <c r="R51" s="5"/>
      <c r="S51" s="34">
        <v>0</v>
      </c>
      <c r="T51" s="16"/>
      <c r="U51" s="36" t="s">
        <v>38</v>
      </c>
      <c r="V51" s="5"/>
      <c r="W51" s="21"/>
      <c r="X51" s="16"/>
      <c r="Y51" s="36" t="s">
        <v>38</v>
      </c>
      <c r="Z51" s="5"/>
      <c r="AA51" s="21"/>
      <c r="AB51" s="16"/>
    </row>
    <row r="52" spans="1:28" ht="15.75" customHeight="1">
      <c r="A52" s="35" t="s">
        <v>39</v>
      </c>
      <c r="B52" s="5"/>
      <c r="C52" s="34">
        <v>6</v>
      </c>
      <c r="D52" s="16"/>
      <c r="E52" s="36" t="s">
        <v>39</v>
      </c>
      <c r="F52" s="5"/>
      <c r="G52" s="34">
        <v>3</v>
      </c>
      <c r="H52" s="16"/>
      <c r="I52" s="36" t="s">
        <v>39</v>
      </c>
      <c r="J52" s="5"/>
      <c r="K52" s="34">
        <v>2</v>
      </c>
      <c r="L52" s="16"/>
      <c r="M52" s="36" t="s">
        <v>39</v>
      </c>
      <c r="N52" s="5"/>
      <c r="O52" s="34">
        <v>7</v>
      </c>
      <c r="P52" s="16"/>
      <c r="Q52" s="36" t="s">
        <v>39</v>
      </c>
      <c r="R52" s="5"/>
      <c r="S52" s="34">
        <v>5</v>
      </c>
      <c r="T52" s="16"/>
      <c r="U52" s="36" t="s">
        <v>39</v>
      </c>
      <c r="V52" s="5"/>
      <c r="W52" s="21"/>
      <c r="X52" s="16"/>
      <c r="Y52" s="36" t="s">
        <v>39</v>
      </c>
      <c r="Z52" s="5"/>
      <c r="AA52" s="21"/>
      <c r="AB52" s="16"/>
    </row>
    <row r="53" spans="1:28" ht="15.75" customHeight="1">
      <c r="A53" s="37" t="s">
        <v>40</v>
      </c>
      <c r="B53" s="5"/>
      <c r="C53" s="34">
        <v>0</v>
      </c>
      <c r="D53" s="16"/>
      <c r="E53" s="38" t="s">
        <v>40</v>
      </c>
      <c r="F53" s="5"/>
      <c r="G53" s="34">
        <v>0</v>
      </c>
      <c r="H53" s="16"/>
      <c r="I53" s="38" t="s">
        <v>40</v>
      </c>
      <c r="J53" s="5"/>
      <c r="K53" s="34">
        <v>0</v>
      </c>
      <c r="L53" s="16"/>
      <c r="M53" s="38" t="s">
        <v>40</v>
      </c>
      <c r="N53" s="5"/>
      <c r="O53" s="22">
        <v>0</v>
      </c>
      <c r="P53" s="16"/>
      <c r="Q53" s="38" t="s">
        <v>40</v>
      </c>
      <c r="R53" s="5"/>
      <c r="S53" s="22">
        <v>1</v>
      </c>
      <c r="T53" s="16"/>
      <c r="U53" s="38" t="s">
        <v>40</v>
      </c>
      <c r="V53" s="5"/>
      <c r="W53" s="5"/>
      <c r="X53" s="16"/>
      <c r="Y53" s="38" t="s">
        <v>40</v>
      </c>
      <c r="Z53" s="5"/>
      <c r="AA53" s="5"/>
      <c r="AB53" s="16"/>
    </row>
    <row r="54" spans="1:28" ht="15.75" customHeight="1">
      <c r="A54" s="35" t="s">
        <v>41</v>
      </c>
      <c r="B54" s="5"/>
      <c r="C54" s="34">
        <v>2</v>
      </c>
      <c r="D54" s="16"/>
      <c r="E54" s="36" t="s">
        <v>41</v>
      </c>
      <c r="F54" s="5"/>
      <c r="G54" s="34">
        <v>0</v>
      </c>
      <c r="H54" s="16"/>
      <c r="I54" s="36" t="s">
        <v>41</v>
      </c>
      <c r="J54" s="5"/>
      <c r="K54" s="34">
        <v>5</v>
      </c>
      <c r="L54" s="16"/>
      <c r="M54" s="36" t="s">
        <v>41</v>
      </c>
      <c r="N54" s="5"/>
      <c r="O54" s="34">
        <v>0</v>
      </c>
      <c r="P54" s="16"/>
      <c r="Q54" s="36" t="s">
        <v>41</v>
      </c>
      <c r="R54" s="5"/>
      <c r="S54" s="34">
        <v>1</v>
      </c>
      <c r="T54" s="16"/>
      <c r="U54" s="36" t="s">
        <v>41</v>
      </c>
      <c r="V54" s="5"/>
      <c r="W54" s="21"/>
      <c r="X54" s="16"/>
      <c r="Y54" s="36" t="s">
        <v>41</v>
      </c>
      <c r="Z54" s="5"/>
      <c r="AA54" s="21"/>
      <c r="AB54" s="16"/>
    </row>
    <row r="55" spans="1:28">
      <c r="A55" s="37" t="s">
        <v>42</v>
      </c>
      <c r="B55" s="5"/>
      <c r="C55" s="29">
        <f>(C48*B955)+(C49*B956)+(C50*B957)+(C51*B958)+(C52*B959)+(C53*B960)+(C54*B961)</f>
        <v>17.5</v>
      </c>
      <c r="D55" s="16"/>
      <c r="E55" s="38" t="s">
        <v>42</v>
      </c>
      <c r="F55" s="5"/>
      <c r="G55" s="41">
        <f>(G48*$B$955)+(G49*$B$956)+(G50*$B$957)+(G51*$B$958)+(G52*$B$959)+(G53*$B$960)+(G54*$B$961)</f>
        <v>3</v>
      </c>
      <c r="H55" s="16"/>
      <c r="I55" s="38" t="s">
        <v>42</v>
      </c>
      <c r="J55" s="5"/>
      <c r="K55" s="41">
        <f>(K48*$B$955)+(K49*$B$956)+(K50*$B$957)+(K51*$B$958)+(K52*$B$959)+(K53*$B$960)+(K54*$B$961)</f>
        <v>19.5</v>
      </c>
      <c r="L55" s="16"/>
      <c r="M55" s="38" t="s">
        <v>42</v>
      </c>
      <c r="N55" s="5"/>
      <c r="O55" s="41">
        <f>(O48*$B$955)+(O49*$B$956)+(O50*$B$957)+(O51*$B$958)+(O52*$B$959)+(O53*$B$960)+(O54*$B$961)</f>
        <v>11.5</v>
      </c>
      <c r="P55" s="16"/>
      <c r="Q55" s="38" t="s">
        <v>42</v>
      </c>
      <c r="R55" s="5"/>
      <c r="S55" s="41">
        <f>(S48*$B$955)+(S49*$B$956)+(S50*$B$957)+(S51*$B$958)+(S52*$B$959)+(S53*$B$960)+(S54*$B$961)</f>
        <v>11</v>
      </c>
      <c r="T55" s="16"/>
      <c r="U55" s="38" t="s">
        <v>42</v>
      </c>
      <c r="V55" s="5"/>
      <c r="W55" s="41">
        <f>(W48*$B$955)+(W49*$B$956)+(W50*$B$957)+(W51*$B$958)+(W52*$B$959)+(W53*$B$960)+(W54*$B$961)</f>
        <v>0</v>
      </c>
      <c r="X55" s="16"/>
      <c r="Y55" s="38" t="s">
        <v>42</v>
      </c>
      <c r="Z55" s="5"/>
      <c r="AA55" s="41">
        <f>(AA48*$B$955)+(AA49*$B$956)+(AA50*$B$957)+(AA51*$B$958)+(AA52*$B$959)+(AA53*$B$960)+(AA54*$B$961)</f>
        <v>0</v>
      </c>
      <c r="AB55" s="16"/>
    </row>
    <row r="56" spans="1:28" ht="15.75" customHeight="1">
      <c r="A56" s="47" t="s">
        <v>44</v>
      </c>
      <c r="B56" s="5"/>
      <c r="C56" s="22" t="s">
        <v>45</v>
      </c>
      <c r="D56" s="16"/>
      <c r="E56" s="47" t="s">
        <v>44</v>
      </c>
      <c r="F56" s="5"/>
      <c r="G56" s="22" t="s">
        <v>55</v>
      </c>
      <c r="H56" s="16"/>
      <c r="I56" s="47" t="s">
        <v>44</v>
      </c>
      <c r="J56" s="5"/>
      <c r="K56" s="22" t="s">
        <v>45</v>
      </c>
      <c r="L56" s="16"/>
      <c r="M56" s="47" t="s">
        <v>44</v>
      </c>
      <c r="N56" s="5"/>
      <c r="O56" s="22" t="s">
        <v>45</v>
      </c>
      <c r="P56" s="16"/>
      <c r="Q56" s="47" t="s">
        <v>44</v>
      </c>
      <c r="R56" s="5"/>
      <c r="S56" s="22" t="s">
        <v>55</v>
      </c>
      <c r="T56" s="16"/>
      <c r="U56" s="47" t="s">
        <v>44</v>
      </c>
      <c r="V56" s="5"/>
      <c r="W56" s="5"/>
      <c r="X56" s="16"/>
      <c r="Y56" s="47" t="s">
        <v>44</v>
      </c>
      <c r="Z56" s="5"/>
      <c r="AA56" s="5"/>
      <c r="AB56" s="16"/>
    </row>
    <row r="57" spans="1:28" ht="15.75" customHeight="1">
      <c r="A57" s="35" t="s">
        <v>48</v>
      </c>
      <c r="B57" s="5"/>
      <c r="C57" s="5" t="str">
        <f>IF(C55&gt;B953, "Positive", "Negative")</f>
        <v>Positive</v>
      </c>
      <c r="D57" s="16"/>
      <c r="E57" s="36" t="s">
        <v>48</v>
      </c>
      <c r="F57" s="5"/>
      <c r="G57" s="5" t="str">
        <f>IF(G55&gt;$B$953, "Positive", "Negative")</f>
        <v>Negative</v>
      </c>
      <c r="H57" s="16"/>
      <c r="I57" s="36" t="s">
        <v>48</v>
      </c>
      <c r="J57" s="5"/>
      <c r="K57" s="5" t="str">
        <f>IF(K55&gt;$B$953, "Positive", "Negative")</f>
        <v>Positive</v>
      </c>
      <c r="L57" s="16"/>
      <c r="M57" s="36" t="s">
        <v>48</v>
      </c>
      <c r="N57" s="5"/>
      <c r="O57" s="5" t="str">
        <f>IF(O55&gt;$B$953, "Positive", "Negative")</f>
        <v>Positive</v>
      </c>
      <c r="P57" s="16"/>
      <c r="Q57" s="36" t="s">
        <v>48</v>
      </c>
      <c r="R57" s="5"/>
      <c r="S57" s="5" t="str">
        <f>IF(S55&gt;$B$953, "Positive", "Negative")</f>
        <v>Positive</v>
      </c>
      <c r="T57" s="16"/>
      <c r="U57" s="36" t="s">
        <v>48</v>
      </c>
      <c r="V57" s="5"/>
      <c r="W57" s="5" t="str">
        <f>IF(W55&gt;$B$953, "Positive", "Negative")</f>
        <v>Negative</v>
      </c>
      <c r="X57" s="16"/>
      <c r="Y57" s="36" t="s">
        <v>48</v>
      </c>
      <c r="Z57" s="5"/>
      <c r="AA57" s="5" t="str">
        <f>IF(AA55&gt;$B$953, "Positive", "Negative")</f>
        <v>Negative</v>
      </c>
      <c r="AB57" s="16"/>
    </row>
    <row r="58" spans="1:28" ht="15.75" customHeight="1">
      <c r="A58" s="35" t="s">
        <v>49</v>
      </c>
      <c r="B58" s="5"/>
      <c r="C58" s="5"/>
      <c r="D58" s="16"/>
      <c r="E58" s="36" t="s">
        <v>49</v>
      </c>
      <c r="F58" s="5"/>
      <c r="G58" s="5"/>
      <c r="H58" s="16"/>
      <c r="I58" s="36" t="s">
        <v>49</v>
      </c>
      <c r="J58" s="5"/>
      <c r="K58" s="22" t="s">
        <v>50</v>
      </c>
      <c r="L58" s="16"/>
      <c r="M58" s="36" t="s">
        <v>49</v>
      </c>
      <c r="N58" s="5"/>
      <c r="O58" s="5"/>
      <c r="P58" s="16"/>
      <c r="Q58" s="36" t="s">
        <v>49</v>
      </c>
      <c r="R58" s="5"/>
      <c r="S58" s="5"/>
      <c r="T58" s="16"/>
      <c r="U58" s="36" t="s">
        <v>49</v>
      </c>
      <c r="V58" s="5"/>
      <c r="W58" s="5"/>
      <c r="X58" s="16"/>
      <c r="Y58" s="36" t="s">
        <v>49</v>
      </c>
      <c r="Z58" s="5"/>
      <c r="AA58" s="5"/>
      <c r="AB58" s="16"/>
    </row>
    <row r="59" spans="1:28" ht="15.75" customHeight="1">
      <c r="A59" s="35"/>
      <c r="B59" s="5"/>
      <c r="C59" s="5"/>
      <c r="D59" s="16"/>
      <c r="E59" s="38"/>
      <c r="F59" s="5"/>
      <c r="G59" s="5"/>
      <c r="H59" s="16"/>
      <c r="I59" s="38"/>
      <c r="J59" s="5"/>
      <c r="K59" s="5"/>
      <c r="L59" s="16"/>
      <c r="M59" s="38"/>
      <c r="N59" s="5"/>
      <c r="O59" s="5"/>
      <c r="P59" s="16"/>
      <c r="Q59" s="38"/>
      <c r="R59" s="5"/>
      <c r="S59" s="5"/>
      <c r="T59" s="16"/>
      <c r="U59" s="38"/>
      <c r="V59" s="5"/>
      <c r="W59" s="5"/>
      <c r="X59" s="16"/>
      <c r="Y59" s="38"/>
      <c r="Z59" s="5"/>
      <c r="AA59" s="5"/>
      <c r="AB59" s="16"/>
    </row>
    <row r="60" spans="1:28" ht="15.75" customHeight="1">
      <c r="A60" s="15"/>
      <c r="B60" s="15"/>
      <c r="C60" s="15"/>
      <c r="D60" s="49"/>
      <c r="E60" s="27"/>
      <c r="F60" s="5"/>
      <c r="G60" s="5"/>
      <c r="H60" s="16"/>
      <c r="I60" s="27"/>
      <c r="J60" s="5"/>
      <c r="K60" s="5"/>
      <c r="L60" s="16"/>
      <c r="M60" s="27"/>
      <c r="N60" s="5"/>
      <c r="O60" s="5"/>
      <c r="P60" s="16"/>
      <c r="Q60" s="27"/>
      <c r="R60" s="5"/>
      <c r="S60" s="5"/>
      <c r="T60" s="16"/>
      <c r="U60" s="27"/>
      <c r="V60" s="5"/>
      <c r="W60" s="5"/>
      <c r="X60" s="16"/>
      <c r="Y60" s="27"/>
      <c r="Z60" s="5"/>
      <c r="AA60" s="5"/>
      <c r="AB60" s="16"/>
    </row>
    <row r="61" spans="1:28" ht="15.75" customHeight="1">
      <c r="A61" s="5" t="s">
        <v>32</v>
      </c>
      <c r="B61" s="5"/>
      <c r="C61" s="25" t="e">
        <f>RIGHT(A10, LEN(A10)-FIND("-", A10))</f>
        <v>#VALUE!</v>
      </c>
      <c r="D61" s="16"/>
      <c r="E61" s="27" t="s">
        <v>32</v>
      </c>
      <c r="F61" s="5"/>
      <c r="G61" s="25" t="e">
        <f>RIGHT(E10, LEN(E10)-FIND("-", E10))</f>
        <v>#VALUE!</v>
      </c>
      <c r="H61" s="16"/>
      <c r="I61" s="27" t="s">
        <v>32</v>
      </c>
      <c r="J61" s="5"/>
      <c r="K61" s="25" t="e">
        <f>RIGHT(I10, LEN(I10)-FIND("-", I10))</f>
        <v>#VALUE!</v>
      </c>
      <c r="L61" s="16"/>
      <c r="M61" s="27" t="s">
        <v>32</v>
      </c>
      <c r="N61" s="5"/>
      <c r="O61" s="25" t="e">
        <f>RIGHT(M10, LEN(M10)-FIND("-", M10))</f>
        <v>#VALUE!</v>
      </c>
      <c r="P61" s="16"/>
      <c r="Q61" s="27" t="s">
        <v>32</v>
      </c>
      <c r="R61" s="5"/>
      <c r="S61" s="25" t="e">
        <f>RIGHT(Q10, LEN(Q10)-FIND("-", Q10))</f>
        <v>#VALUE!</v>
      </c>
      <c r="T61" s="16"/>
      <c r="U61" s="27" t="s">
        <v>32</v>
      </c>
      <c r="V61" s="5"/>
      <c r="W61" s="25" t="e">
        <f>RIGHT(U10, LEN(U10)-FIND("-", U10))</f>
        <v>#VALUE!</v>
      </c>
      <c r="X61" s="16"/>
      <c r="Y61" s="27" t="s">
        <v>32</v>
      </c>
      <c r="Z61" s="5"/>
      <c r="AA61" s="25" t="e">
        <f>RIGHT(Y10, LEN(Y10)-FIND("-", Y10))</f>
        <v>#VALUE!</v>
      </c>
      <c r="AB61" s="16"/>
    </row>
    <row r="62" spans="1:28" ht="15.75" customHeight="1">
      <c r="A62" s="5" t="s">
        <v>33</v>
      </c>
      <c r="B62" s="5"/>
      <c r="C62" s="28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16"/>
      <c r="E62" s="27" t="s">
        <v>33</v>
      </c>
      <c r="F62" s="5"/>
      <c r="G62" s="28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16"/>
      <c r="I62" s="27" t="s">
        <v>33</v>
      </c>
      <c r="J62" s="5"/>
      <c r="K62" s="28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16"/>
      <c r="M62" s="27" t="s">
        <v>33</v>
      </c>
      <c r="N62" s="5"/>
      <c r="O62" s="28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16"/>
      <c r="Q62" s="27" t="s">
        <v>33</v>
      </c>
      <c r="R62" s="5"/>
      <c r="S62" s="28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16"/>
      <c r="U62" s="27" t="s">
        <v>33</v>
      </c>
      <c r="V62" s="5"/>
      <c r="W62" s="28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16"/>
      <c r="Y62" s="27" t="s">
        <v>33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6"/>
    </row>
    <row r="63" spans="1:28" ht="15.75" customHeight="1">
      <c r="A63" s="5" t="s">
        <v>34</v>
      </c>
      <c r="B63" s="5"/>
      <c r="C63" s="5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16"/>
      <c r="E63" s="27" t="s">
        <v>34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16"/>
      <c r="I63" s="27" t="s">
        <v>34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16"/>
      <c r="M63" s="27" t="s">
        <v>34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16"/>
      <c r="Q63" s="27" t="s">
        <v>34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16"/>
      <c r="U63" s="27" t="s">
        <v>34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16"/>
      <c r="Y63" s="27" t="s">
        <v>34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6"/>
    </row>
    <row r="64" spans="1:28" ht="15.75" customHeight="1">
      <c r="A64" s="31" t="s">
        <v>35</v>
      </c>
      <c r="B64" s="5"/>
      <c r="C64" s="34"/>
      <c r="D64" s="16"/>
      <c r="E64" s="33" t="s">
        <v>35</v>
      </c>
      <c r="F64" s="5"/>
      <c r="G64" s="21"/>
      <c r="H64" s="16"/>
      <c r="I64" s="33" t="s">
        <v>35</v>
      </c>
      <c r="J64" s="5"/>
      <c r="K64" s="21"/>
      <c r="L64" s="16"/>
      <c r="M64" s="33" t="s">
        <v>35</v>
      </c>
      <c r="N64" s="5"/>
      <c r="O64" s="21"/>
      <c r="P64" s="16"/>
      <c r="Q64" s="33" t="s">
        <v>35</v>
      </c>
      <c r="R64" s="5"/>
      <c r="S64" s="34"/>
      <c r="T64" s="16"/>
      <c r="U64" s="33" t="s">
        <v>35</v>
      </c>
      <c r="V64" s="5"/>
      <c r="W64" s="34"/>
      <c r="X64" s="16"/>
      <c r="Y64" s="33" t="s">
        <v>35</v>
      </c>
      <c r="Z64" s="5"/>
      <c r="AA64" s="34"/>
      <c r="AB64" s="16"/>
    </row>
    <row r="65" spans="1:28" ht="15.75" customHeight="1">
      <c r="A65" s="31" t="s">
        <v>36</v>
      </c>
      <c r="B65" s="5"/>
      <c r="C65" s="21"/>
      <c r="D65" s="16"/>
      <c r="E65" s="33" t="s">
        <v>36</v>
      </c>
      <c r="F65" s="5"/>
      <c r="G65" s="21"/>
      <c r="H65" s="16"/>
      <c r="I65" s="33" t="s">
        <v>36</v>
      </c>
      <c r="J65" s="5"/>
      <c r="K65" s="21"/>
      <c r="L65" s="16"/>
      <c r="M65" s="33" t="s">
        <v>36</v>
      </c>
      <c r="N65" s="5"/>
      <c r="O65" s="21"/>
      <c r="P65" s="16"/>
      <c r="Q65" s="33" t="s">
        <v>36</v>
      </c>
      <c r="R65" s="5"/>
      <c r="S65" s="34"/>
      <c r="T65" s="16"/>
      <c r="U65" s="33" t="s">
        <v>36</v>
      </c>
      <c r="V65" s="5"/>
      <c r="W65" s="34"/>
      <c r="X65" s="16"/>
      <c r="Y65" s="33" t="s">
        <v>36</v>
      </c>
      <c r="Z65" s="5"/>
      <c r="AA65" s="34"/>
      <c r="AB65" s="16"/>
    </row>
    <row r="66" spans="1:28" ht="15.75" customHeight="1">
      <c r="A66" s="35" t="s">
        <v>37</v>
      </c>
      <c r="B66" s="5"/>
      <c r="C66" s="34"/>
      <c r="D66" s="16"/>
      <c r="E66" s="36" t="s">
        <v>37</v>
      </c>
      <c r="F66" s="5"/>
      <c r="G66" s="21"/>
      <c r="H66" s="16"/>
      <c r="I66" s="36" t="s">
        <v>37</v>
      </c>
      <c r="J66" s="5"/>
      <c r="K66" s="21"/>
      <c r="L66" s="16"/>
      <c r="M66" s="36" t="s">
        <v>37</v>
      </c>
      <c r="N66" s="5"/>
      <c r="O66" s="21"/>
      <c r="P66" s="16"/>
      <c r="Q66" s="36" t="s">
        <v>37</v>
      </c>
      <c r="R66" s="5"/>
      <c r="S66" s="34"/>
      <c r="T66" s="16"/>
      <c r="U66" s="36" t="s">
        <v>37</v>
      </c>
      <c r="V66" s="5"/>
      <c r="W66" s="34"/>
      <c r="X66" s="16"/>
      <c r="Y66" s="36" t="s">
        <v>37</v>
      </c>
      <c r="Z66" s="5"/>
      <c r="AA66" s="34"/>
      <c r="AB66" s="16"/>
    </row>
    <row r="67" spans="1:28" ht="15.75" customHeight="1">
      <c r="A67" s="35" t="s">
        <v>38</v>
      </c>
      <c r="B67" s="5"/>
      <c r="C67" s="21"/>
      <c r="D67" s="16"/>
      <c r="E67" s="36" t="s">
        <v>38</v>
      </c>
      <c r="F67" s="5"/>
      <c r="G67" s="5"/>
      <c r="H67" s="16"/>
      <c r="I67" s="36" t="s">
        <v>38</v>
      </c>
      <c r="J67" s="5"/>
      <c r="K67" s="5"/>
      <c r="L67" s="16"/>
      <c r="M67" s="36" t="s">
        <v>38</v>
      </c>
      <c r="N67" s="5"/>
      <c r="O67" s="5"/>
      <c r="P67" s="16"/>
      <c r="Q67" s="36" t="s">
        <v>38</v>
      </c>
      <c r="R67" s="5"/>
      <c r="S67" s="22"/>
      <c r="T67" s="16"/>
      <c r="U67" s="36" t="s">
        <v>38</v>
      </c>
      <c r="V67" s="5"/>
      <c r="W67" s="22"/>
      <c r="X67" s="16"/>
      <c r="Y67" s="36" t="s">
        <v>38</v>
      </c>
      <c r="Z67" s="5"/>
      <c r="AA67" s="22"/>
      <c r="AB67" s="16"/>
    </row>
    <row r="68" spans="1:28" ht="15.75" customHeight="1">
      <c r="A68" s="35" t="s">
        <v>39</v>
      </c>
      <c r="B68" s="5"/>
      <c r="C68" s="21"/>
      <c r="D68" s="16"/>
      <c r="E68" s="36" t="s">
        <v>39</v>
      </c>
      <c r="F68" s="5"/>
      <c r="G68" s="22"/>
      <c r="H68" s="16"/>
      <c r="I68" s="36" t="s">
        <v>39</v>
      </c>
      <c r="J68" s="5"/>
      <c r="K68" s="5"/>
      <c r="L68" s="16"/>
      <c r="M68" s="36" t="s">
        <v>39</v>
      </c>
      <c r="N68" s="5"/>
      <c r="O68" s="5"/>
      <c r="P68" s="16"/>
      <c r="Q68" s="36" t="s">
        <v>39</v>
      </c>
      <c r="R68" s="5"/>
      <c r="S68" s="5"/>
      <c r="T68" s="16"/>
      <c r="U68" s="36" t="s">
        <v>39</v>
      </c>
      <c r="V68" s="5"/>
      <c r="W68" s="5"/>
      <c r="X68" s="16"/>
      <c r="Y68" s="36" t="s">
        <v>39</v>
      </c>
      <c r="Z68" s="5"/>
      <c r="AA68" s="5"/>
      <c r="AB68" s="16"/>
    </row>
    <row r="69" spans="1:28" ht="15.75" customHeight="1">
      <c r="A69" s="37" t="s">
        <v>40</v>
      </c>
      <c r="B69" s="5"/>
      <c r="C69" s="21"/>
      <c r="D69" s="16"/>
      <c r="E69" s="38" t="s">
        <v>40</v>
      </c>
      <c r="F69" s="5"/>
      <c r="G69" s="34"/>
      <c r="H69" s="16"/>
      <c r="I69" s="38" t="s">
        <v>40</v>
      </c>
      <c r="J69" s="5"/>
      <c r="K69" s="34"/>
      <c r="L69" s="16"/>
      <c r="M69" s="38" t="s">
        <v>40</v>
      </c>
      <c r="N69" s="5"/>
      <c r="O69" s="5"/>
      <c r="P69" s="16"/>
      <c r="Q69" s="38" t="s">
        <v>40</v>
      </c>
      <c r="R69" s="5"/>
      <c r="S69" s="5"/>
      <c r="T69" s="16"/>
      <c r="U69" s="38" t="s">
        <v>40</v>
      </c>
      <c r="V69" s="5"/>
      <c r="W69" s="5"/>
      <c r="X69" s="16"/>
      <c r="Y69" s="38" t="s">
        <v>40</v>
      </c>
      <c r="Z69" s="5"/>
      <c r="AA69" s="5"/>
      <c r="AB69" s="16"/>
    </row>
    <row r="70" spans="1:28" ht="15.75" customHeight="1">
      <c r="A70" s="35" t="s">
        <v>41</v>
      </c>
      <c r="B70" s="5"/>
      <c r="C70" s="21"/>
      <c r="D70" s="16"/>
      <c r="E70" s="36" t="s">
        <v>41</v>
      </c>
      <c r="F70" s="5"/>
      <c r="G70" s="34"/>
      <c r="H70" s="16"/>
      <c r="I70" s="36" t="s">
        <v>41</v>
      </c>
      <c r="J70" s="5"/>
      <c r="K70" s="21"/>
      <c r="L70" s="16"/>
      <c r="M70" s="36" t="s">
        <v>41</v>
      </c>
      <c r="N70" s="5"/>
      <c r="O70" s="21"/>
      <c r="P70" s="16"/>
      <c r="Q70" s="36" t="s">
        <v>41</v>
      </c>
      <c r="R70" s="5"/>
      <c r="S70" s="21"/>
      <c r="T70" s="16"/>
      <c r="U70" s="36" t="s">
        <v>41</v>
      </c>
      <c r="V70" s="5"/>
      <c r="W70" s="21"/>
      <c r="X70" s="16"/>
      <c r="Y70" s="36" t="s">
        <v>41</v>
      </c>
      <c r="Z70" s="5"/>
      <c r="AA70" s="21"/>
      <c r="AB70" s="16"/>
    </row>
    <row r="71" spans="1:28">
      <c r="A71" s="37" t="s">
        <v>42</v>
      </c>
      <c r="B71" s="5"/>
      <c r="C71" s="29">
        <f>(C64*B955)+(C65*B956)+(C66*B957)+(C67*B958)+(C68*B959)+(C69*B960)+(C70*B961)</f>
        <v>0</v>
      </c>
      <c r="D71" s="49"/>
      <c r="E71" s="38" t="s">
        <v>42</v>
      </c>
      <c r="F71" s="5"/>
      <c r="G71" s="29">
        <f>(G64*$B$955)+(G65*$B$956)+(G66*$B$957)+(G67*$B$958)+(G68*$B$959)+(G69*$B$960)+(G70*$B$961)</f>
        <v>0</v>
      </c>
      <c r="H71" s="16"/>
      <c r="I71" s="38" t="s">
        <v>42</v>
      </c>
      <c r="J71" s="5"/>
      <c r="K71" s="29">
        <f>(K64*$B$955)+(K65*$B$956)+(K66*$B$957)+(K67*$B$958)+(K68*$B$959)+(K69*$B$960)+(K70*$B$961)</f>
        <v>0</v>
      </c>
      <c r="L71" s="16"/>
      <c r="M71" s="38" t="s">
        <v>42</v>
      </c>
      <c r="N71" s="5"/>
      <c r="O71" s="29">
        <f>(O64*$B$955)+(O65*$B$956)+(O66*$B$957)+(O67*$B$958)+(O68*$B$959)+(O69*$B$960)+(O70*$B$961)</f>
        <v>0</v>
      </c>
      <c r="P71" s="16"/>
      <c r="Q71" s="38" t="s">
        <v>42</v>
      </c>
      <c r="R71" s="5"/>
      <c r="S71" s="29">
        <f>(S64*$B$955)+(S65*$B$956)+(S66*$B$957)+(S67*$B$958)+(S68*$B$959)+(S69*$B$960)+(S70*$B$961)</f>
        <v>0</v>
      </c>
      <c r="T71" s="16"/>
      <c r="U71" s="38" t="s">
        <v>42</v>
      </c>
      <c r="V71" s="5"/>
      <c r="W71" s="29">
        <f>(W64*$B$955)+(W65*$B$956)+(W66*$B$957)+(W67*$B$958)+(W68*$B$959)+(W69*$B$960)+(W70*$B$961)</f>
        <v>0</v>
      </c>
      <c r="X71" s="16"/>
      <c r="Y71" s="38" t="s">
        <v>42</v>
      </c>
      <c r="Z71" s="5"/>
      <c r="AA71" s="29">
        <f>(AA64*$B$955)+(AA65*$B$956)+(AA66*$B$957)+(AA67*$B$958)+(AA68*$B$959)+(AA69*$B$960)+(AA70*$B$961)</f>
        <v>0</v>
      </c>
      <c r="AB71" s="16"/>
    </row>
    <row r="72" spans="1:28" ht="15.75" customHeight="1">
      <c r="A72" s="47" t="s">
        <v>44</v>
      </c>
      <c r="B72" s="5"/>
      <c r="C72" s="5"/>
      <c r="D72" s="49"/>
      <c r="E72" s="47" t="s">
        <v>44</v>
      </c>
      <c r="F72" s="5"/>
      <c r="G72" s="5"/>
      <c r="H72" s="16"/>
      <c r="I72" s="47" t="s">
        <v>44</v>
      </c>
      <c r="J72" s="5"/>
      <c r="K72" s="5"/>
      <c r="L72" s="16"/>
      <c r="M72" s="47" t="s">
        <v>44</v>
      </c>
      <c r="N72" s="5"/>
      <c r="O72" s="5"/>
      <c r="P72" s="16"/>
      <c r="Q72" s="47" t="s">
        <v>44</v>
      </c>
      <c r="R72" s="5"/>
      <c r="S72" s="5"/>
      <c r="T72" s="16"/>
      <c r="U72" s="47" t="s">
        <v>44</v>
      </c>
      <c r="V72" s="5"/>
      <c r="W72" s="5"/>
      <c r="X72" s="16"/>
      <c r="Y72" s="47" t="s">
        <v>44</v>
      </c>
      <c r="Z72" s="5"/>
      <c r="AA72" s="5"/>
      <c r="AB72" s="16"/>
    </row>
    <row r="73" spans="1:28" ht="15.75" customHeight="1">
      <c r="A73" s="35" t="s">
        <v>48</v>
      </c>
      <c r="B73" s="5"/>
      <c r="C73" s="5" t="str">
        <f>IF(C71&gt;B953, "Positive", "Negative")</f>
        <v>Negative</v>
      </c>
      <c r="D73" s="49"/>
      <c r="E73" s="36" t="s">
        <v>48</v>
      </c>
      <c r="F73" s="5"/>
      <c r="G73" s="5" t="str">
        <f>IF(G71&gt;$B$953, "Positive", "Negative")</f>
        <v>Negative</v>
      </c>
      <c r="H73" s="16"/>
      <c r="I73" s="36" t="s">
        <v>48</v>
      </c>
      <c r="J73" s="5"/>
      <c r="K73" s="5" t="str">
        <f>IF(K71&gt;$B$953, "Positive", "Negative")</f>
        <v>Negative</v>
      </c>
      <c r="L73" s="16"/>
      <c r="M73" s="36" t="s">
        <v>48</v>
      </c>
      <c r="N73" s="5"/>
      <c r="O73" s="5" t="str">
        <f>IF(O71&gt;$B$953, "Positive", "Negative")</f>
        <v>Negative</v>
      </c>
      <c r="P73" s="16"/>
      <c r="Q73" s="36" t="s">
        <v>48</v>
      </c>
      <c r="R73" s="5"/>
      <c r="S73" s="5" t="str">
        <f>IF(S71&gt;$B$953, "Positive", "Negative")</f>
        <v>Negative</v>
      </c>
      <c r="T73" s="16"/>
      <c r="U73" s="36" t="s">
        <v>48</v>
      </c>
      <c r="V73" s="5"/>
      <c r="W73" s="5" t="str">
        <f>IF(W71&gt;$B$953, "Positive", "Negative")</f>
        <v>Negative</v>
      </c>
      <c r="X73" s="16"/>
      <c r="Y73" s="36" t="s">
        <v>48</v>
      </c>
      <c r="Z73" s="5"/>
      <c r="AA73" s="5" t="str">
        <f>IF(AA71&gt;$B$953, "Positive", "Negative")</f>
        <v>Negative</v>
      </c>
      <c r="AB73" s="16"/>
    </row>
    <row r="74" spans="1:28" ht="15.75" customHeight="1">
      <c r="A74" s="35" t="s">
        <v>49</v>
      </c>
      <c r="B74" s="5"/>
      <c r="C74" s="5"/>
      <c r="D74" s="49"/>
      <c r="E74" s="36" t="s">
        <v>49</v>
      </c>
      <c r="F74" s="5"/>
      <c r="G74" s="5"/>
      <c r="H74" s="16"/>
      <c r="I74" s="36" t="s">
        <v>49</v>
      </c>
      <c r="J74" s="5"/>
      <c r="K74" s="5"/>
      <c r="L74" s="16"/>
      <c r="M74" s="36" t="s">
        <v>49</v>
      </c>
      <c r="N74" s="5"/>
      <c r="O74" s="5"/>
      <c r="P74" s="16"/>
      <c r="Q74" s="36" t="s">
        <v>49</v>
      </c>
      <c r="R74" s="5"/>
      <c r="S74" s="5"/>
      <c r="T74" s="16"/>
      <c r="U74" s="36" t="s">
        <v>49</v>
      </c>
      <c r="V74" s="5"/>
      <c r="W74" s="5"/>
      <c r="X74" s="16"/>
      <c r="Y74" s="36" t="s">
        <v>49</v>
      </c>
      <c r="Z74" s="5"/>
      <c r="AA74" s="5"/>
      <c r="AB74" s="3"/>
    </row>
    <row r="75" spans="1:28" ht="15.75" customHeight="1">
      <c r="A75" s="31"/>
      <c r="B75" s="5"/>
      <c r="C75" s="21"/>
      <c r="D75" s="49"/>
      <c r="E75" s="15"/>
      <c r="F75" s="15"/>
      <c r="G75" s="15"/>
      <c r="H75" s="49"/>
      <c r="I75" s="15"/>
      <c r="J75" s="15"/>
      <c r="K75" s="15"/>
      <c r="L75" s="49"/>
      <c r="M75" s="15"/>
      <c r="N75" s="15"/>
      <c r="O75" s="70"/>
      <c r="P75" s="49"/>
      <c r="Q75" s="15"/>
      <c r="R75" s="15"/>
      <c r="S75" s="15"/>
      <c r="T75" s="49"/>
      <c r="U75" s="15"/>
      <c r="V75" s="15"/>
      <c r="W75" s="15"/>
      <c r="X75" s="49"/>
      <c r="Y75" s="15"/>
      <c r="Z75" s="15"/>
      <c r="AA75" s="15"/>
      <c r="AB75" s="1"/>
    </row>
    <row r="76" spans="1:28" ht="15.75" customHeight="1">
      <c r="A76" s="15"/>
      <c r="B76" s="15"/>
      <c r="C76" s="15"/>
      <c r="D76" s="49"/>
      <c r="E76" s="15"/>
      <c r="F76" s="15"/>
      <c r="G76" s="15"/>
      <c r="H76" s="49"/>
      <c r="I76" s="15"/>
      <c r="J76" s="15"/>
      <c r="K76" s="15"/>
      <c r="L76" s="49"/>
      <c r="M76" s="15"/>
      <c r="N76" s="15"/>
      <c r="O76" s="70"/>
      <c r="P76" s="49"/>
      <c r="Q76" s="15"/>
      <c r="R76" s="15"/>
      <c r="S76" s="15"/>
      <c r="T76" s="49"/>
      <c r="U76" s="15"/>
      <c r="V76" s="15"/>
      <c r="W76" s="15"/>
      <c r="X76" s="49"/>
      <c r="Y76" s="15"/>
      <c r="Z76" s="15"/>
      <c r="AA76" s="15"/>
      <c r="AB76" s="1"/>
    </row>
    <row r="77" spans="1:28" ht="15.75" customHeight="1">
      <c r="A77" s="5" t="s">
        <v>32</v>
      </c>
      <c r="B77" s="5"/>
      <c r="C77" s="25" t="e">
        <f>RIGHT(A11, LEN(A11)-FIND("-", A11))</f>
        <v>#VALUE!</v>
      </c>
      <c r="D77" s="16"/>
      <c r="E77" s="27" t="s">
        <v>32</v>
      </c>
      <c r="F77" s="5"/>
      <c r="G77" s="25" t="e">
        <f>RIGHT(E11, LEN(E11)-FIND("-", E11))</f>
        <v>#VALUE!</v>
      </c>
      <c r="H77" s="16"/>
      <c r="I77" s="27" t="s">
        <v>32</v>
      </c>
      <c r="J77" s="5"/>
      <c r="K77" s="25" t="e">
        <f>RIGHT(I11, LEN(I11)-FIND("-", I11))</f>
        <v>#VALUE!</v>
      </c>
      <c r="L77" s="16"/>
      <c r="M77" s="27" t="s">
        <v>32</v>
      </c>
      <c r="N77" s="5"/>
      <c r="O77" s="25" t="e">
        <f>RIGHT(M11, LEN(M11)-FIND("-", M11))</f>
        <v>#VALUE!</v>
      </c>
      <c r="P77" s="16"/>
      <c r="Q77" s="27" t="s">
        <v>32</v>
      </c>
      <c r="R77" s="5"/>
      <c r="S77" s="25" t="e">
        <f>RIGHT(Q11, LEN(Q11)-FIND("-", Q11))</f>
        <v>#VALUE!</v>
      </c>
      <c r="T77" s="16"/>
      <c r="U77" s="27" t="s">
        <v>32</v>
      </c>
      <c r="V77" s="5"/>
      <c r="W77" s="25" t="e">
        <f>RIGHT(U11, LEN(U11)-FIND("-", U11))</f>
        <v>#VALUE!</v>
      </c>
      <c r="X77" s="16"/>
      <c r="Y77" s="27" t="s">
        <v>32</v>
      </c>
      <c r="Z77" s="5"/>
      <c r="AA77" s="25" t="e">
        <f>RIGHT(Y11, LEN(Y11)-FIND("-", Y11))</f>
        <v>#VALUE!</v>
      </c>
      <c r="AB77" s="16"/>
    </row>
    <row r="78" spans="1:28" ht="15.75" customHeight="1">
      <c r="A78" s="5" t="s">
        <v>33</v>
      </c>
      <c r="B78" s="5"/>
      <c r="C78" s="28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16"/>
      <c r="E78" s="27" t="s">
        <v>33</v>
      </c>
      <c r="F78" s="5"/>
      <c r="G78" s="28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16"/>
      <c r="I78" s="27" t="s">
        <v>33</v>
      </c>
      <c r="J78" s="5"/>
      <c r="K78" s="28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16"/>
      <c r="M78" s="27" t="s">
        <v>33</v>
      </c>
      <c r="N78" s="5"/>
      <c r="O78" s="28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16"/>
      <c r="Q78" s="27" t="s">
        <v>33</v>
      </c>
      <c r="R78" s="5"/>
      <c r="S78" s="28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16"/>
      <c r="U78" s="27" t="s">
        <v>33</v>
      </c>
      <c r="V78" s="5"/>
      <c r="W78" s="28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16"/>
      <c r="Y78" s="27" t="s">
        <v>33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6"/>
    </row>
    <row r="79" spans="1:28" ht="15.75" customHeight="1">
      <c r="A79" s="5" t="s">
        <v>34</v>
      </c>
      <c r="B79" s="5"/>
      <c r="C79" s="5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16"/>
      <c r="E79" s="27" t="s">
        <v>34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16"/>
      <c r="I79" s="27" t="s">
        <v>34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16"/>
      <c r="M79" s="27" t="s">
        <v>34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16"/>
      <c r="Q79" s="27" t="s">
        <v>34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16"/>
      <c r="U79" s="27" t="s">
        <v>34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16"/>
      <c r="Y79" s="27" t="s">
        <v>34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6"/>
    </row>
    <row r="80" spans="1:28" ht="15.75" customHeight="1">
      <c r="A80" s="31" t="s">
        <v>35</v>
      </c>
      <c r="B80" s="5"/>
      <c r="C80" s="34"/>
      <c r="D80" s="16"/>
      <c r="E80" s="33" t="s">
        <v>35</v>
      </c>
      <c r="F80" s="5"/>
      <c r="G80" s="21"/>
      <c r="H80" s="16"/>
      <c r="I80" s="33" t="s">
        <v>35</v>
      </c>
      <c r="J80" s="5"/>
      <c r="K80" s="21"/>
      <c r="L80" s="16"/>
      <c r="M80" s="33" t="s">
        <v>35</v>
      </c>
      <c r="N80" s="5"/>
      <c r="O80" s="21"/>
      <c r="P80" s="16"/>
      <c r="Q80" s="33" t="s">
        <v>35</v>
      </c>
      <c r="R80" s="5"/>
      <c r="S80" s="34"/>
      <c r="T80" s="16"/>
      <c r="U80" s="33" t="s">
        <v>35</v>
      </c>
      <c r="V80" s="5"/>
      <c r="W80" s="34"/>
      <c r="X80" s="16"/>
      <c r="Y80" s="33" t="s">
        <v>35</v>
      </c>
      <c r="Z80" s="5"/>
      <c r="AA80" s="34"/>
      <c r="AB80" s="16"/>
    </row>
    <row r="81" spans="1:28" ht="15.75" customHeight="1">
      <c r="A81" s="31" t="s">
        <v>36</v>
      </c>
      <c r="B81" s="5"/>
      <c r="C81" s="21"/>
      <c r="D81" s="16"/>
      <c r="E81" s="33" t="s">
        <v>36</v>
      </c>
      <c r="F81" s="5"/>
      <c r="G81" s="21"/>
      <c r="H81" s="16"/>
      <c r="I81" s="33" t="s">
        <v>36</v>
      </c>
      <c r="J81" s="5"/>
      <c r="K81" s="21"/>
      <c r="L81" s="16"/>
      <c r="M81" s="33" t="s">
        <v>36</v>
      </c>
      <c r="N81" s="5"/>
      <c r="O81" s="21"/>
      <c r="P81" s="16"/>
      <c r="Q81" s="33" t="s">
        <v>36</v>
      </c>
      <c r="R81" s="5"/>
      <c r="S81" s="34"/>
      <c r="T81" s="16"/>
      <c r="U81" s="33" t="s">
        <v>36</v>
      </c>
      <c r="V81" s="5"/>
      <c r="W81" s="34"/>
      <c r="X81" s="16"/>
      <c r="Y81" s="33" t="s">
        <v>36</v>
      </c>
      <c r="Z81" s="5"/>
      <c r="AA81" s="34"/>
      <c r="AB81" s="16"/>
    </row>
    <row r="82" spans="1:28" ht="15.75" customHeight="1">
      <c r="A82" s="35" t="s">
        <v>37</v>
      </c>
      <c r="B82" s="5"/>
      <c r="C82" s="34"/>
      <c r="D82" s="16"/>
      <c r="E82" s="36" t="s">
        <v>37</v>
      </c>
      <c r="F82" s="5"/>
      <c r="G82" s="21"/>
      <c r="H82" s="16"/>
      <c r="I82" s="36" t="s">
        <v>37</v>
      </c>
      <c r="J82" s="5"/>
      <c r="K82" s="21"/>
      <c r="L82" s="16"/>
      <c r="M82" s="36" t="s">
        <v>37</v>
      </c>
      <c r="N82" s="5"/>
      <c r="O82" s="21"/>
      <c r="P82" s="16"/>
      <c r="Q82" s="36" t="s">
        <v>37</v>
      </c>
      <c r="R82" s="5"/>
      <c r="S82" s="34"/>
      <c r="T82" s="16"/>
      <c r="U82" s="36" t="s">
        <v>37</v>
      </c>
      <c r="V82" s="5"/>
      <c r="W82" s="34"/>
      <c r="X82" s="16"/>
      <c r="Y82" s="36" t="s">
        <v>37</v>
      </c>
      <c r="Z82" s="5"/>
      <c r="AA82" s="34"/>
      <c r="AB82" s="16"/>
    </row>
    <row r="83" spans="1:28" ht="15.75" customHeight="1">
      <c r="A83" s="35" t="s">
        <v>38</v>
      </c>
      <c r="B83" s="5"/>
      <c r="C83" s="21"/>
      <c r="D83" s="16"/>
      <c r="E83" s="36" t="s">
        <v>38</v>
      </c>
      <c r="F83" s="5"/>
      <c r="G83" s="5"/>
      <c r="H83" s="16"/>
      <c r="I83" s="36" t="s">
        <v>38</v>
      </c>
      <c r="J83" s="5"/>
      <c r="K83" s="5"/>
      <c r="L83" s="16"/>
      <c r="M83" s="36" t="s">
        <v>38</v>
      </c>
      <c r="N83" s="5"/>
      <c r="O83" s="5"/>
      <c r="P83" s="16"/>
      <c r="Q83" s="36" t="s">
        <v>38</v>
      </c>
      <c r="R83" s="5"/>
      <c r="S83" s="22"/>
      <c r="T83" s="16"/>
      <c r="U83" s="36" t="s">
        <v>38</v>
      </c>
      <c r="V83" s="5"/>
      <c r="W83" s="22"/>
      <c r="X83" s="16"/>
      <c r="Y83" s="36" t="s">
        <v>38</v>
      </c>
      <c r="Z83" s="5"/>
      <c r="AA83" s="22"/>
      <c r="AB83" s="16"/>
    </row>
    <row r="84" spans="1:28" ht="15.75" customHeight="1">
      <c r="A84" s="35" t="s">
        <v>39</v>
      </c>
      <c r="B84" s="5"/>
      <c r="C84" s="21"/>
      <c r="D84" s="16"/>
      <c r="E84" s="36" t="s">
        <v>39</v>
      </c>
      <c r="F84" s="5"/>
      <c r="G84" s="5"/>
      <c r="H84" s="16"/>
      <c r="I84" s="36" t="s">
        <v>39</v>
      </c>
      <c r="J84" s="5"/>
      <c r="K84" s="5"/>
      <c r="L84" s="16"/>
      <c r="M84" s="36" t="s">
        <v>39</v>
      </c>
      <c r="N84" s="5"/>
      <c r="O84" s="5"/>
      <c r="P84" s="16"/>
      <c r="Q84" s="36" t="s">
        <v>39</v>
      </c>
      <c r="R84" s="5"/>
      <c r="S84" s="5"/>
      <c r="T84" s="16"/>
      <c r="U84" s="36" t="s">
        <v>39</v>
      </c>
      <c r="V84" s="5"/>
      <c r="W84" s="5"/>
      <c r="X84" s="16"/>
      <c r="Y84" s="36" t="s">
        <v>39</v>
      </c>
      <c r="Z84" s="5"/>
      <c r="AA84" s="5"/>
      <c r="AB84" s="16"/>
    </row>
    <row r="85" spans="1:28" ht="15.75" customHeight="1">
      <c r="A85" s="37" t="s">
        <v>40</v>
      </c>
      <c r="B85" s="5"/>
      <c r="C85" s="21"/>
      <c r="D85" s="16"/>
      <c r="E85" s="38" t="s">
        <v>40</v>
      </c>
      <c r="F85" s="5"/>
      <c r="G85" s="34"/>
      <c r="H85" s="16"/>
      <c r="I85" s="38" t="s">
        <v>40</v>
      </c>
      <c r="J85" s="5"/>
      <c r="K85" s="34"/>
      <c r="L85" s="16"/>
      <c r="M85" s="38" t="s">
        <v>40</v>
      </c>
      <c r="N85" s="5"/>
      <c r="O85" s="5"/>
      <c r="P85" s="16"/>
      <c r="Q85" s="38" t="s">
        <v>40</v>
      </c>
      <c r="R85" s="5"/>
      <c r="S85" s="5"/>
      <c r="T85" s="16"/>
      <c r="U85" s="38" t="s">
        <v>40</v>
      </c>
      <c r="V85" s="5"/>
      <c r="W85" s="5"/>
      <c r="X85" s="16"/>
      <c r="Y85" s="38" t="s">
        <v>40</v>
      </c>
      <c r="Z85" s="5"/>
      <c r="AA85" s="5"/>
      <c r="AB85" s="16"/>
    </row>
    <row r="86" spans="1:28" ht="15.75" customHeight="1">
      <c r="A86" s="35" t="s">
        <v>41</v>
      </c>
      <c r="B86" s="5"/>
      <c r="C86" s="21"/>
      <c r="D86" s="16"/>
      <c r="E86" s="36" t="s">
        <v>41</v>
      </c>
      <c r="F86" s="5"/>
      <c r="G86" s="21"/>
      <c r="H86" s="16"/>
      <c r="I86" s="36" t="s">
        <v>41</v>
      </c>
      <c r="J86" s="5"/>
      <c r="K86" s="21"/>
      <c r="L86" s="16"/>
      <c r="M86" s="36" t="s">
        <v>41</v>
      </c>
      <c r="N86" s="5"/>
      <c r="O86" s="21"/>
      <c r="P86" s="16"/>
      <c r="Q86" s="36" t="s">
        <v>41</v>
      </c>
      <c r="R86" s="5"/>
      <c r="S86" s="21"/>
      <c r="T86" s="16"/>
      <c r="U86" s="36" t="s">
        <v>41</v>
      </c>
      <c r="V86" s="5"/>
      <c r="W86" s="21"/>
      <c r="X86" s="16"/>
      <c r="Y86" s="36" t="s">
        <v>41</v>
      </c>
      <c r="Z86" s="5"/>
      <c r="AA86" s="21"/>
      <c r="AB86" s="16"/>
    </row>
    <row r="87" spans="1:28">
      <c r="A87" s="37" t="s">
        <v>42</v>
      </c>
      <c r="B87" s="5"/>
      <c r="C87" s="29">
        <f>(C80*B971)+(C81*B972)+(C82*B973)+(C83*B974)+(C84*B975)+(C85*B976)+(C86*B977)</f>
        <v>0</v>
      </c>
      <c r="D87" s="49"/>
      <c r="E87" s="38" t="s">
        <v>42</v>
      </c>
      <c r="F87" s="5"/>
      <c r="G87" s="29">
        <f>(G80*$B$955)+(G81*$B$956)+(G82*$B$957)+(G83*$B$958)+(G84*$B$959)+(G85*$B$960)+(G86*$B$961)</f>
        <v>0</v>
      </c>
      <c r="H87" s="16"/>
      <c r="I87" s="38" t="s">
        <v>42</v>
      </c>
      <c r="J87" s="5"/>
      <c r="K87" s="29">
        <f>(K80*$B$955)+(K81*$B$956)+(K82*$B$957)+(K83*$B$958)+(K84*$B$959)+(K85*$B$960)+(K86*$B$961)</f>
        <v>0</v>
      </c>
      <c r="L87" s="16"/>
      <c r="M87" s="38" t="s">
        <v>42</v>
      </c>
      <c r="N87" s="5"/>
      <c r="O87" s="29">
        <f>(O80*$B$955)+(O81*$B$956)+(O82*$B$957)+(O83*$B$958)+(O84*$B$959)+(O85*$B$960)+(O86*$B$961)</f>
        <v>0</v>
      </c>
      <c r="P87" s="16"/>
      <c r="Q87" s="38" t="s">
        <v>42</v>
      </c>
      <c r="R87" s="5"/>
      <c r="S87" s="29">
        <f>(S80*$B$955)+(S81*$B$956)+(S82*$B$957)+(S83*$B$958)+(S84*$B$959)+(S85*$B$960)+(S86*$B$961)</f>
        <v>0</v>
      </c>
      <c r="T87" s="16"/>
      <c r="U87" s="38" t="s">
        <v>42</v>
      </c>
      <c r="V87" s="5"/>
      <c r="W87" s="29">
        <f>(W80*$B$955)+(W81*$B$956)+(W82*$B$957)+(W83*$B$958)+(W84*$B$959)+(W85*$B$960)+(W86*$B$961)</f>
        <v>0</v>
      </c>
      <c r="X87" s="16"/>
      <c r="Y87" s="38" t="s">
        <v>42</v>
      </c>
      <c r="Z87" s="5"/>
      <c r="AA87" s="29">
        <f>(AA80*$B$955)+(AA81*$B$956)+(AA82*$B$957)+(AA83*$B$958)+(AA84*$B$959)+(AA85*$B$960)+(AA86*$B$961)</f>
        <v>0</v>
      </c>
      <c r="AB87" s="16"/>
    </row>
    <row r="88" spans="1:28" ht="15.75" customHeight="1">
      <c r="A88" s="47" t="s">
        <v>44</v>
      </c>
      <c r="B88" s="5"/>
      <c r="C88" s="5"/>
      <c r="D88" s="49"/>
      <c r="E88" s="47" t="s">
        <v>44</v>
      </c>
      <c r="F88" s="5"/>
      <c r="G88" s="5"/>
      <c r="H88" s="16"/>
      <c r="I88" s="47" t="s">
        <v>44</v>
      </c>
      <c r="J88" s="5"/>
      <c r="K88" s="5"/>
      <c r="L88" s="16"/>
      <c r="M88" s="47" t="s">
        <v>44</v>
      </c>
      <c r="N88" s="5"/>
      <c r="O88" s="5"/>
      <c r="P88" s="16"/>
      <c r="Q88" s="47" t="s">
        <v>44</v>
      </c>
      <c r="R88" s="5"/>
      <c r="S88" s="5"/>
      <c r="T88" s="16"/>
      <c r="U88" s="47" t="s">
        <v>44</v>
      </c>
      <c r="V88" s="5"/>
      <c r="W88" s="5"/>
      <c r="X88" s="16"/>
      <c r="Y88" s="47" t="s">
        <v>44</v>
      </c>
      <c r="Z88" s="5"/>
      <c r="AA88" s="5"/>
      <c r="AB88" s="16"/>
    </row>
    <row r="89" spans="1:28" ht="15.75" customHeight="1">
      <c r="A89" s="35" t="s">
        <v>48</v>
      </c>
      <c r="B89" s="5"/>
      <c r="C89" s="5" t="str">
        <f>IF(C87&gt;B969, "Positive", "Negative")</f>
        <v>Negative</v>
      </c>
      <c r="D89" s="49"/>
      <c r="E89" s="36" t="s">
        <v>48</v>
      </c>
      <c r="F89" s="5"/>
      <c r="G89" s="5" t="str">
        <f>IF(G87&gt;$B$953, "Positive", "Negative")</f>
        <v>Negative</v>
      </c>
      <c r="H89" s="16"/>
      <c r="I89" s="36" t="s">
        <v>48</v>
      </c>
      <c r="J89" s="5"/>
      <c r="K89" s="5" t="str">
        <f>IF(K87&gt;$B$953, "Positive", "Negative")</f>
        <v>Negative</v>
      </c>
      <c r="L89" s="16"/>
      <c r="M89" s="36" t="s">
        <v>48</v>
      </c>
      <c r="N89" s="5"/>
      <c r="O89" s="5" t="str">
        <f>IF(O87&gt;$B$953, "Positive", "Negative")</f>
        <v>Negative</v>
      </c>
      <c r="P89" s="16"/>
      <c r="Q89" s="36" t="s">
        <v>48</v>
      </c>
      <c r="R89" s="5"/>
      <c r="S89" s="5" t="str">
        <f>IF(S87&gt;$B$953, "Positive", "Negative")</f>
        <v>Negative</v>
      </c>
      <c r="T89" s="16"/>
      <c r="U89" s="36" t="s">
        <v>48</v>
      </c>
      <c r="V89" s="5"/>
      <c r="W89" s="5" t="str">
        <f>IF(W87&gt;$B$953, "Positive", "Negative")</f>
        <v>Negative</v>
      </c>
      <c r="X89" s="16"/>
      <c r="Y89" s="36" t="s">
        <v>48</v>
      </c>
      <c r="Z89" s="5"/>
      <c r="AA89" s="5" t="str">
        <f>IF(AA87&gt;$B$953, "Positive", "Negative")</f>
        <v>Negative</v>
      </c>
      <c r="AB89" s="16"/>
    </row>
    <row r="90" spans="1:28" ht="15.75" customHeight="1">
      <c r="A90" s="35" t="s">
        <v>49</v>
      </c>
      <c r="B90" s="5"/>
      <c r="C90" s="5"/>
      <c r="D90" s="49"/>
      <c r="E90" s="36" t="s">
        <v>49</v>
      </c>
      <c r="F90" s="5"/>
      <c r="G90" s="5"/>
      <c r="H90" s="16"/>
      <c r="I90" s="36" t="s">
        <v>49</v>
      </c>
      <c r="J90" s="5"/>
      <c r="K90" s="5"/>
      <c r="L90" s="16"/>
      <c r="M90" s="36" t="s">
        <v>49</v>
      </c>
      <c r="N90" s="5"/>
      <c r="O90" s="5"/>
      <c r="P90" s="16"/>
      <c r="Q90" s="36" t="s">
        <v>49</v>
      </c>
      <c r="R90" s="5"/>
      <c r="S90" s="5"/>
      <c r="T90" s="16"/>
      <c r="U90" s="36" t="s">
        <v>49</v>
      </c>
      <c r="V90" s="5"/>
      <c r="W90" s="5"/>
      <c r="X90" s="16"/>
      <c r="Y90" s="36" t="s">
        <v>49</v>
      </c>
      <c r="Z90" s="5"/>
      <c r="AA90" s="5"/>
      <c r="AB90" s="3"/>
    </row>
    <row r="91" spans="1:28" ht="15.75" customHeight="1">
      <c r="A91" s="31"/>
      <c r="B91" s="2"/>
      <c r="C91" s="21"/>
      <c r="O91" s="70"/>
    </row>
    <row r="92" spans="1:28" ht="15.75" customHeight="1">
      <c r="O92" s="70"/>
    </row>
    <row r="93" spans="1:28">
      <c r="A93" s="71" t="s">
        <v>85</v>
      </c>
      <c r="O93" s="70"/>
    </row>
    <row r="94" spans="1:28" ht="15.75" customHeight="1">
      <c r="A94" s="72" t="s">
        <v>86</v>
      </c>
      <c r="B94" s="2"/>
      <c r="C94" s="28" t="s">
        <v>87</v>
      </c>
      <c r="D94" s="19" t="s">
        <v>88</v>
      </c>
      <c r="E94" s="19" t="s">
        <v>89</v>
      </c>
      <c r="F94" s="19" t="s">
        <v>90</v>
      </c>
      <c r="G94" s="19" t="s">
        <v>91</v>
      </c>
      <c r="H94" s="19" t="s">
        <v>92</v>
      </c>
    </row>
    <row r="95" spans="1:28" ht="15.75" customHeight="1">
      <c r="A95" s="73" t="s">
        <v>93</v>
      </c>
      <c r="C95" s="2" t="s">
        <v>94</v>
      </c>
      <c r="D95" s="2" t="s">
        <v>95</v>
      </c>
      <c r="E95" s="2" t="s">
        <v>96</v>
      </c>
      <c r="F95" s="2" t="s">
        <v>97</v>
      </c>
      <c r="G95" s="2" t="s">
        <v>98</v>
      </c>
      <c r="H95" s="19" t="s">
        <v>92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74"/>
    </row>
    <row r="896" spans="1:1" ht="15.75" customHeight="1">
      <c r="A896" s="68"/>
    </row>
    <row r="901" spans="1:14" ht="15.75" customHeight="1">
      <c r="A901" s="68"/>
    </row>
    <row r="902" spans="1:14" ht="15.75" customHeight="1">
      <c r="A902" s="2"/>
    </row>
    <row r="903" spans="1:14" ht="15.75" customHeight="1">
      <c r="A903" s="2"/>
      <c r="B903" s="68"/>
      <c r="C903" s="68"/>
      <c r="D903" s="68"/>
      <c r="E903" s="68"/>
      <c r="F903" s="68"/>
      <c r="G903" s="68"/>
      <c r="H903" s="68"/>
    </row>
    <row r="904" spans="1:14" ht="15.75" customHeight="1">
      <c r="A904" s="2"/>
    </row>
    <row r="905" spans="1:14" ht="15.75" customHeight="1">
      <c r="A905" s="75"/>
    </row>
    <row r="906" spans="1:14" ht="15.75" customHeight="1">
      <c r="A906" s="2"/>
    </row>
    <row r="907" spans="1:14" ht="15.75" customHeight="1">
      <c r="A907" s="75"/>
    </row>
    <row r="908" spans="1:14" ht="15.75" customHeight="1">
      <c r="A908" s="2"/>
    </row>
    <row r="909" spans="1:14" ht="15.75" customHeight="1">
      <c r="A909" s="75"/>
    </row>
    <row r="910" spans="1:14" ht="15.75" customHeight="1">
      <c r="A910" s="75"/>
      <c r="N910" s="76"/>
    </row>
    <row r="911" spans="1:14" ht="15.75" customHeight="1">
      <c r="A911" s="77"/>
    </row>
    <row r="912" spans="1:14" ht="15.75" customHeight="1">
      <c r="A912" s="2"/>
    </row>
    <row r="913" spans="1:13" ht="15.75" customHeight="1">
      <c r="A913" s="75"/>
    </row>
    <row r="914" spans="1:13" ht="15.75" customHeight="1">
      <c r="A914" s="2"/>
    </row>
    <row r="915" spans="1:13" ht="15.75" customHeight="1">
      <c r="A915" s="75"/>
    </row>
    <row r="916" spans="1:13" ht="15.75" customHeight="1">
      <c r="A916" s="2"/>
    </row>
    <row r="917" spans="1:13" ht="15.75" customHeight="1">
      <c r="A917" s="75"/>
    </row>
    <row r="918" spans="1:13" ht="15.75" customHeight="1">
      <c r="A918" s="2"/>
    </row>
    <row r="921" spans="1:13">
      <c r="A921" s="78" t="s">
        <v>99</v>
      </c>
      <c r="B921" s="2"/>
      <c r="C921" s="2"/>
      <c r="M921" s="79"/>
    </row>
    <row r="922" spans="1:13" ht="15.75" customHeight="1">
      <c r="A922" s="11" t="s">
        <v>70</v>
      </c>
      <c r="B922" s="80">
        <f>AVERAGE($C$23,$K$23,$K$39,$C$39,$K$55,,$K$55,$C$55,$K$71,$G$23,$G$39,$G$71,$O$23,$S$23,$S$39,$O$39,$G$55,$S$71,$O$71,$O$55,$S$55,W23,AA23,W39,AA39,W55,AA55,$W$71,$AA$71,$W$87,$AA$87,C87,G87,K87,O87,S87)</f>
        <v>7.4027777777777777</v>
      </c>
      <c r="C922" s="2"/>
      <c r="M922" s="79"/>
    </row>
    <row r="923" spans="1:13" ht="15.75" customHeight="1">
      <c r="A923" s="11" t="s">
        <v>100</v>
      </c>
      <c r="B923" s="81">
        <f>MAX($C$23,$K$23,$K$39,$C$39,$K$55,,$K$55,$C$55,$K$71,$G$23,$G$39,$G$71,$O$23,$S$23,$S$39,$O$39,$G$55,$S$71,$O$71,$O$55,$S$55,W23,AA23,W39,AA39,W55,AA55,$W$71,$AA$71,$W$87,$AA$87,S87,O87,K87,G87,C87)</f>
        <v>43.5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Flume</v>
      </c>
      <c r="M923" s="79"/>
    </row>
    <row r="924" spans="1:13" ht="15.75" customHeight="1">
      <c r="A924" s="11" t="s">
        <v>101</v>
      </c>
      <c r="B924" s="81">
        <f>SUM($C$23,$K$23,$K$39,$C$39,$K$55,,$K$55,$C$55,$K$71,$G$23,$G$39,$G$71,$O$23,$S$23,$S$39,$O$39,$G$55,$S$71,$O$71,$O$55,$S$55,W23,AA23,W39,AA39,W55,AA55,$W$71,$AA$71,$W$87,$AA$87,S87,O87,K87,G87,C87)</f>
        <v>266.5</v>
      </c>
      <c r="C924" s="2"/>
      <c r="M924" s="79"/>
    </row>
    <row r="925" spans="1:13" ht="15.75" customHeight="1">
      <c r="A925" s="11" t="s">
        <v>102</v>
      </c>
      <c r="B925" s="81">
        <v>8</v>
      </c>
      <c r="C925" s="2"/>
      <c r="M925" s="79"/>
    </row>
    <row r="926" spans="1:13" ht="15.75" customHeight="1">
      <c r="A926" s="11" t="s">
        <v>103</v>
      </c>
      <c r="B926" s="81">
        <v>5</v>
      </c>
      <c r="C926" s="2"/>
      <c r="M926" s="79"/>
    </row>
    <row r="927" spans="1:13" ht="15.75" customHeight="1">
      <c r="A927" s="11" t="s">
        <v>104</v>
      </c>
      <c r="B927" s="81">
        <v>0</v>
      </c>
      <c r="C927" s="2"/>
      <c r="M927" s="79"/>
    </row>
    <row r="928" spans="1:13" ht="15.75" customHeight="1">
      <c r="A928" s="11" t="s">
        <v>105</v>
      </c>
      <c r="B928" s="81">
        <v>1</v>
      </c>
      <c r="C928" s="2"/>
    </row>
    <row r="929" spans="1:20" ht="15.75" customHeight="1">
      <c r="A929" s="11" t="s">
        <v>106</v>
      </c>
      <c r="B929" s="81">
        <v>1</v>
      </c>
      <c r="C929" s="2"/>
    </row>
    <row r="930" spans="1:20" ht="15.75" customHeight="1">
      <c r="A930" s="11" t="s">
        <v>107</v>
      </c>
      <c r="B930" s="81">
        <v>2</v>
      </c>
      <c r="C930" s="2"/>
    </row>
    <row r="931" spans="1:20" ht="15.75" customHeight="1">
      <c r="A931" s="11" t="s">
        <v>108</v>
      </c>
      <c r="B931" s="81">
        <v>14</v>
      </c>
      <c r="C931" s="2"/>
    </row>
    <row r="932" spans="1:20" ht="15.75" customHeight="1">
      <c r="A932" s="11" t="s">
        <v>109</v>
      </c>
      <c r="B932" s="81">
        <f>SUM(C16+K16+K32+C32+C48+K48+K64+C64+G32+G48+G64+G16+O16+S16+O32+S32+O48+S48+S64+O64+W16+AA16+W32+AA32+AA48+W48+W64+AA64+AA80+W80+S80+O80+G80+K80+C80)</f>
        <v>1</v>
      </c>
      <c r="C932" s="2"/>
    </row>
    <row r="933" spans="1:20" ht="15.75" customHeight="1">
      <c r="A933" s="11" t="s">
        <v>110</v>
      </c>
      <c r="B933" s="81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1" t="s">
        <v>111</v>
      </c>
      <c r="B934" s="81">
        <f t="shared" si="0"/>
        <v>6</v>
      </c>
      <c r="C934" s="2"/>
    </row>
    <row r="935" spans="1:20" ht="15.75" customHeight="1">
      <c r="A935" s="11" t="s">
        <v>112</v>
      </c>
      <c r="B935" s="81">
        <f t="shared" si="0"/>
        <v>33</v>
      </c>
      <c r="C935" s="2"/>
    </row>
    <row r="936" spans="1:20" ht="15.75" customHeight="1">
      <c r="A936" s="11" t="s">
        <v>113</v>
      </c>
      <c r="B936" s="81">
        <f t="shared" si="0"/>
        <v>74</v>
      </c>
      <c r="C936" s="2"/>
    </row>
    <row r="937" spans="1:20" ht="15.75" customHeight="1">
      <c r="A937" s="11" t="s">
        <v>114</v>
      </c>
      <c r="B937" s="81">
        <f t="shared" si="0"/>
        <v>5</v>
      </c>
      <c r="C937" s="2"/>
    </row>
    <row r="938" spans="1:20" ht="15.75" customHeight="1">
      <c r="A938" s="11" t="s">
        <v>115</v>
      </c>
      <c r="B938" s="81">
        <f t="shared" si="0"/>
        <v>29</v>
      </c>
      <c r="C938" s="2"/>
    </row>
    <row r="939" spans="1:20" ht="15.75" customHeight="1">
      <c r="A939" s="2" t="s">
        <v>116</v>
      </c>
      <c r="B939" s="81">
        <f t="shared" ref="B939:B945" si="1">MAX(C16,K16,K16,K32,C32,C48,K48,K64,C64,G16,G32,G48,G64,O16,S16,S16,S32,O32,S48,O48,S64,O64,W16,AA16,W32,AA32,AA48,W48,AA64,W64,AA80,W80,S80,O80,K80,G80,C80)</f>
        <v>1</v>
      </c>
      <c r="C939" s="2" t="s">
        <v>142</v>
      </c>
    </row>
    <row r="940" spans="1:20" ht="15.75" customHeight="1">
      <c r="A940" s="2" t="s">
        <v>117</v>
      </c>
      <c r="B940" s="81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118</v>
      </c>
      <c r="B941" s="81">
        <f t="shared" si="1"/>
        <v>2</v>
      </c>
      <c r="C941" s="2" t="str">
        <f t="shared" si="2"/>
        <v>Flume</v>
      </c>
    </row>
    <row r="942" spans="1:20" ht="15.75" customHeight="1">
      <c r="A942" s="2" t="s">
        <v>119</v>
      </c>
      <c r="B942" s="81">
        <f t="shared" si="1"/>
        <v>13</v>
      </c>
      <c r="C942" s="2" t="str">
        <f t="shared" si="2"/>
        <v>Flume</v>
      </c>
    </row>
    <row r="943" spans="1:20" ht="15.75" customHeight="1">
      <c r="A943" s="2" t="s">
        <v>120</v>
      </c>
      <c r="B943" s="81">
        <f t="shared" si="1"/>
        <v>12</v>
      </c>
      <c r="C943" s="2">
        <f t="shared" si="2"/>
        <v>0</v>
      </c>
    </row>
    <row r="944" spans="1:20" ht="15.75" customHeight="1">
      <c r="A944" s="2" t="s">
        <v>121</v>
      </c>
      <c r="B944" s="81">
        <f t="shared" si="1"/>
        <v>2</v>
      </c>
      <c r="C944" s="2" t="str">
        <f t="shared" si="2"/>
        <v>Altair</v>
      </c>
      <c r="R944" s="53"/>
      <c r="S944" s="82"/>
      <c r="T944" s="82"/>
    </row>
    <row r="945" spans="1:21" ht="15.75" customHeight="1">
      <c r="A945" s="2" t="s">
        <v>122</v>
      </c>
      <c r="B945" s="81">
        <f t="shared" si="1"/>
        <v>5</v>
      </c>
      <c r="C945" s="2" t="str">
        <f t="shared" si="2"/>
        <v>Greaten</v>
      </c>
    </row>
    <row r="947" spans="1:21">
      <c r="A947" s="83" t="s">
        <v>123</v>
      </c>
      <c r="M947" s="84"/>
      <c r="N947" s="84"/>
      <c r="O947" s="84"/>
      <c r="P947" s="84"/>
      <c r="Q947" s="84"/>
      <c r="R947" s="84"/>
      <c r="S947" s="68"/>
      <c r="T947" s="68"/>
      <c r="U947" s="68"/>
    </row>
    <row r="948" spans="1:21" ht="15.75" customHeight="1">
      <c r="A948" s="19" t="s">
        <v>124</v>
      </c>
      <c r="B948" s="19">
        <v>15.1</v>
      </c>
      <c r="C948" s="19" t="s">
        <v>125</v>
      </c>
      <c r="M948" s="85"/>
      <c r="N948" s="85"/>
      <c r="O948" s="85"/>
      <c r="P948" s="85"/>
      <c r="Q948" s="85"/>
      <c r="R948" s="85"/>
      <c r="T948" s="42"/>
    </row>
    <row r="949" spans="1:21" ht="15.75" customHeight="1">
      <c r="A949" s="19" t="s">
        <v>103</v>
      </c>
      <c r="B949" s="19">
        <v>15.1</v>
      </c>
      <c r="C949" s="19" t="s">
        <v>126</v>
      </c>
      <c r="M949" s="74"/>
      <c r="N949" s="74"/>
      <c r="O949" s="74"/>
      <c r="P949" s="74"/>
      <c r="Q949" s="74"/>
      <c r="R949" s="74"/>
      <c r="T949" s="42"/>
    </row>
    <row r="950" spans="1:21" ht="15.75" customHeight="1">
      <c r="A950" s="19" t="s">
        <v>104</v>
      </c>
      <c r="B950" s="19">
        <v>8.1</v>
      </c>
      <c r="C950" s="19" t="s">
        <v>127</v>
      </c>
      <c r="M950" s="74"/>
      <c r="N950" s="74"/>
      <c r="O950" s="74"/>
      <c r="P950" s="74"/>
      <c r="Q950" s="74"/>
      <c r="R950" s="74"/>
      <c r="T950" s="42"/>
    </row>
    <row r="951" spans="1:21" ht="15.75" customHeight="1">
      <c r="A951" s="19" t="s">
        <v>105</v>
      </c>
      <c r="B951" s="19">
        <v>3.1</v>
      </c>
      <c r="C951" s="19" t="s">
        <v>128</v>
      </c>
      <c r="M951" s="74"/>
      <c r="N951" s="74"/>
      <c r="O951" s="74"/>
      <c r="P951" s="74"/>
      <c r="Q951" s="74"/>
      <c r="R951" s="74"/>
      <c r="T951" s="42"/>
    </row>
    <row r="952" spans="1:21" ht="15.75" customHeight="1">
      <c r="A952" s="19" t="s">
        <v>107</v>
      </c>
      <c r="B952" s="76">
        <v>0</v>
      </c>
      <c r="C952" s="19">
        <v>0</v>
      </c>
      <c r="K952" s="68"/>
      <c r="M952" s="74"/>
      <c r="N952" s="74"/>
      <c r="O952" s="74"/>
      <c r="P952" s="74"/>
      <c r="Q952" s="74"/>
      <c r="R952" s="74"/>
      <c r="T952" s="42"/>
    </row>
    <row r="953" spans="1:21">
      <c r="A953" s="19" t="s">
        <v>129</v>
      </c>
      <c r="B953" s="19">
        <v>7.9</v>
      </c>
      <c r="C953" s="19" t="s">
        <v>130</v>
      </c>
      <c r="J953" s="86"/>
      <c r="K953" s="87"/>
      <c r="M953" s="74"/>
      <c r="N953" s="74"/>
      <c r="O953" s="74"/>
      <c r="P953" s="74"/>
      <c r="Q953" s="74"/>
      <c r="R953" s="74"/>
      <c r="T953" s="42"/>
    </row>
    <row r="954" spans="1:21">
      <c r="A954" s="71"/>
      <c r="J954" s="86"/>
      <c r="K954" s="87"/>
      <c r="M954" s="74"/>
      <c r="N954" s="74"/>
      <c r="O954" s="74"/>
      <c r="P954" s="74"/>
      <c r="Q954" s="74"/>
      <c r="R954" s="74"/>
      <c r="T954" s="42"/>
    </row>
    <row r="955" spans="1:21">
      <c r="A955" s="19" t="s">
        <v>109</v>
      </c>
      <c r="B955" s="19">
        <v>4</v>
      </c>
      <c r="J955" s="86"/>
      <c r="K955" s="87"/>
      <c r="M955" s="74"/>
      <c r="N955" s="74"/>
      <c r="O955" s="74"/>
      <c r="P955" s="74"/>
      <c r="Q955" s="74"/>
      <c r="R955" s="74"/>
      <c r="T955" s="42"/>
    </row>
    <row r="956" spans="1:21">
      <c r="A956" s="19" t="s">
        <v>110</v>
      </c>
      <c r="B956" s="76">
        <v>2</v>
      </c>
      <c r="J956" s="88"/>
      <c r="K956" s="87"/>
      <c r="M956" s="74"/>
      <c r="N956" s="74"/>
      <c r="O956" s="74"/>
      <c r="P956" s="74"/>
      <c r="Q956" s="74"/>
      <c r="R956" s="74"/>
      <c r="T956" s="42"/>
    </row>
    <row r="957" spans="1:21">
      <c r="A957" s="19" t="s">
        <v>111</v>
      </c>
      <c r="B957" s="19">
        <v>1.5</v>
      </c>
      <c r="J957" s="86"/>
      <c r="K957" s="87"/>
      <c r="M957" s="74"/>
      <c r="N957" s="74"/>
      <c r="O957" s="74"/>
      <c r="P957" s="74"/>
      <c r="Q957" s="74"/>
      <c r="R957" s="74"/>
      <c r="T957" s="42"/>
    </row>
    <row r="958" spans="1:21">
      <c r="A958" s="19" t="s">
        <v>112</v>
      </c>
      <c r="B958" s="19">
        <v>1.5</v>
      </c>
      <c r="J958" s="88"/>
      <c r="K958" s="87"/>
      <c r="M958" s="74"/>
      <c r="N958" s="74"/>
      <c r="O958" s="74"/>
      <c r="P958" s="74"/>
      <c r="Q958" s="74"/>
      <c r="R958" s="74"/>
      <c r="T958" s="42"/>
    </row>
    <row r="959" spans="1:21">
      <c r="A959" s="19" t="s">
        <v>113</v>
      </c>
      <c r="B959" s="19">
        <v>1</v>
      </c>
      <c r="J959" s="86"/>
      <c r="K959" s="87"/>
      <c r="M959" s="74"/>
      <c r="N959" s="74"/>
      <c r="O959" s="74"/>
      <c r="P959" s="74"/>
      <c r="Q959" s="74"/>
      <c r="R959" s="74"/>
      <c r="T959" s="42"/>
    </row>
    <row r="960" spans="1:21">
      <c r="A960" s="19" t="s">
        <v>114</v>
      </c>
      <c r="B960" s="19">
        <v>4</v>
      </c>
      <c r="J960" s="88"/>
      <c r="K960" s="87"/>
      <c r="M960" s="74"/>
      <c r="N960" s="74"/>
      <c r="O960" s="74"/>
      <c r="P960" s="74"/>
      <c r="Q960" s="74"/>
      <c r="R960" s="74"/>
      <c r="T960" s="42"/>
    </row>
    <row r="961" spans="1:21">
      <c r="A961" s="19" t="s">
        <v>115</v>
      </c>
      <c r="B961" s="19">
        <v>2</v>
      </c>
      <c r="J961" s="88"/>
      <c r="K961" s="87"/>
      <c r="M961" s="74"/>
      <c r="N961" s="74"/>
      <c r="O961" s="74"/>
      <c r="P961" s="74"/>
      <c r="Q961" s="74"/>
      <c r="R961" s="74"/>
      <c r="T961" s="42"/>
    </row>
    <row r="962" spans="1:21">
      <c r="J962" s="89"/>
      <c r="K962" s="87"/>
      <c r="M962" s="74"/>
      <c r="N962" s="74"/>
      <c r="O962" s="74"/>
      <c r="P962" s="74"/>
      <c r="Q962" s="74"/>
      <c r="R962" s="74"/>
      <c r="T962" s="42"/>
    </row>
    <row r="963" spans="1:21">
      <c r="J963" s="86"/>
      <c r="K963" s="87"/>
      <c r="M963" s="74"/>
      <c r="N963" s="74"/>
      <c r="O963" s="74"/>
      <c r="P963" s="74"/>
      <c r="Q963" s="74"/>
      <c r="R963" s="74"/>
      <c r="T963" s="42"/>
    </row>
    <row r="964" spans="1:21">
      <c r="A964" s="90">
        <f ca="1">TODAY()</f>
        <v>43548</v>
      </c>
      <c r="B964" s="19" t="s">
        <v>131</v>
      </c>
      <c r="J964" s="88"/>
      <c r="K964" s="87"/>
      <c r="M964" s="74"/>
      <c r="N964" s="74"/>
      <c r="O964" s="74"/>
      <c r="P964" s="74"/>
      <c r="Q964" s="74"/>
      <c r="R964" s="74"/>
      <c r="T964" s="42"/>
    </row>
    <row r="965" spans="1:21">
      <c r="J965" s="86"/>
      <c r="K965" s="87"/>
      <c r="M965" s="74"/>
      <c r="N965" s="74"/>
      <c r="O965" s="74"/>
      <c r="P965" s="74"/>
      <c r="Q965" s="74"/>
      <c r="R965" s="74"/>
      <c r="T965" s="42"/>
    </row>
    <row r="966" spans="1:21">
      <c r="A966" s="70" t="s">
        <v>132</v>
      </c>
      <c r="J966" s="88"/>
      <c r="K966" s="87"/>
      <c r="M966" s="74"/>
      <c r="N966" s="74"/>
      <c r="O966" s="74"/>
      <c r="P966" s="74"/>
      <c r="Q966" s="74"/>
      <c r="R966" s="74"/>
      <c r="T966" s="42"/>
    </row>
    <row r="967" spans="1:21">
      <c r="A967" s="70" t="s">
        <v>133</v>
      </c>
      <c r="J967" s="86"/>
      <c r="K967" s="87"/>
      <c r="M967" s="74"/>
      <c r="N967" s="74"/>
      <c r="O967" s="74"/>
      <c r="P967" s="74"/>
      <c r="Q967" s="74"/>
      <c r="R967" s="74"/>
      <c r="T967" s="42"/>
    </row>
    <row r="968" spans="1:21">
      <c r="A968" s="91" t="s">
        <v>134</v>
      </c>
      <c r="J968" s="88"/>
      <c r="K968" s="87"/>
      <c r="U968" s="92"/>
    </row>
    <row r="969" spans="1:21">
      <c r="A969" s="91" t="s">
        <v>135</v>
      </c>
      <c r="J969" s="86"/>
      <c r="K969" s="87"/>
    </row>
    <row r="970" spans="1:21">
      <c r="A970" s="91" t="s">
        <v>136</v>
      </c>
      <c r="J970" s="88"/>
      <c r="K970" s="87"/>
    </row>
    <row r="971" spans="1:21">
      <c r="A971" s="70" t="s">
        <v>137</v>
      </c>
      <c r="J971" s="42"/>
      <c r="K971" s="87"/>
    </row>
    <row r="972" spans="1:21">
      <c r="A972" s="70" t="s">
        <v>138</v>
      </c>
      <c r="J972" s="42"/>
      <c r="K972" s="87"/>
    </row>
    <row r="998" spans="1:10">
      <c r="A998" s="93"/>
      <c r="B998" s="2"/>
      <c r="C998" s="2"/>
      <c r="D998" s="2"/>
      <c r="E998" s="2"/>
      <c r="F998" s="2"/>
      <c r="G998" s="2"/>
      <c r="H998" s="2"/>
      <c r="I998" s="94"/>
    </row>
    <row r="999" spans="1:10">
      <c r="A999" s="93"/>
      <c r="B999" s="2"/>
      <c r="C999" s="2"/>
      <c r="D999" s="2"/>
      <c r="E999" s="2"/>
      <c r="F999" s="2"/>
      <c r="G999" s="2"/>
      <c r="H999" s="2"/>
      <c r="I999" s="94"/>
    </row>
    <row r="1000" spans="1:10">
      <c r="A1000" s="93"/>
      <c r="B1000" s="2"/>
      <c r="C1000" s="2"/>
      <c r="D1000" s="2"/>
      <c r="E1000" s="2"/>
      <c r="F1000" s="2"/>
      <c r="G1000" s="2"/>
      <c r="H1000" s="2"/>
      <c r="I1000" s="94"/>
    </row>
    <row r="1001" spans="1:10">
      <c r="A1001" s="93"/>
      <c r="B1001" s="2"/>
      <c r="C1001" s="2"/>
      <c r="D1001" s="2"/>
      <c r="E1001" s="2"/>
      <c r="F1001" s="2"/>
      <c r="G1001" s="2"/>
      <c r="H1001" s="2"/>
      <c r="I1001" s="94"/>
    </row>
    <row r="1002" spans="1:10">
      <c r="A1002" s="93"/>
      <c r="B1002" s="2"/>
      <c r="C1002" s="2"/>
      <c r="D1002" s="2"/>
      <c r="E1002" s="2"/>
      <c r="F1002" s="2"/>
      <c r="G1002" s="2"/>
      <c r="H1002" s="2"/>
      <c r="I1002" s="94"/>
    </row>
    <row r="1003" spans="1:10">
      <c r="A1003" s="93"/>
      <c r="B1003" s="2"/>
      <c r="C1003" s="2"/>
      <c r="D1003" s="2"/>
      <c r="E1003" s="2"/>
      <c r="F1003" s="2"/>
      <c r="G1003" s="2"/>
      <c r="H1003" s="2"/>
      <c r="I1003" s="94"/>
    </row>
    <row r="1004" spans="1:10">
      <c r="A1004" s="93"/>
      <c r="B1004" s="2"/>
      <c r="C1004" s="2"/>
      <c r="D1004" s="2"/>
      <c r="E1004" s="2"/>
      <c r="F1004" s="2"/>
      <c r="G1004" s="2"/>
      <c r="H1004" s="2"/>
      <c r="I1004" s="94"/>
    </row>
    <row r="1005" spans="1:10">
      <c r="A1005" s="93"/>
      <c r="B1005" s="2"/>
      <c r="C1005" s="2"/>
      <c r="D1005" s="2"/>
      <c r="E1005" s="2"/>
      <c r="F1005" s="2"/>
      <c r="G1005" s="2"/>
      <c r="H1005" s="2"/>
      <c r="I1005" s="94"/>
    </row>
    <row r="1006" spans="1:10" ht="15.75" customHeight="1">
      <c r="A1006" s="95" t="s">
        <v>139</v>
      </c>
      <c r="B1006" s="96" t="s">
        <v>109</v>
      </c>
      <c r="C1006" s="96" t="s">
        <v>110</v>
      </c>
      <c r="D1006" s="96" t="s">
        <v>111</v>
      </c>
      <c r="E1006" s="96" t="s">
        <v>112</v>
      </c>
      <c r="F1006" s="96" t="s">
        <v>113</v>
      </c>
      <c r="G1006" s="96" t="s">
        <v>114</v>
      </c>
      <c r="H1006" s="96" t="s">
        <v>115</v>
      </c>
      <c r="I1006" s="95" t="s">
        <v>140</v>
      </c>
      <c r="J1006" s="97" t="s">
        <v>141</v>
      </c>
    </row>
    <row r="1007" spans="1:10">
      <c r="A1007" s="98" t="str">
        <f>C13</f>
        <v>Flume</v>
      </c>
      <c r="B1007" s="99">
        <f>HLOOKUP($A$1007, $A$13:$AB$26, 4, 0)</f>
        <v>0</v>
      </c>
      <c r="C1007" s="99">
        <f t="shared" ref="C1007:C1013" si="3">HLOOKUP(A1007, $A$13:$AB$26, 5, 0)</f>
        <v>0</v>
      </c>
      <c r="D1007" s="99">
        <f t="shared" ref="D1007:D1013" si="4">HLOOKUP(A1007, $A$13:$AB$26, 6, 0)</f>
        <v>2</v>
      </c>
      <c r="E1007" s="99">
        <f t="shared" ref="E1007:E1013" si="5">HLOOKUP(A1007, $A$13:$AB$26, 7, 0)</f>
        <v>13</v>
      </c>
      <c r="F1007" s="99">
        <f t="shared" ref="F1007:F1013" si="6">HLOOKUP(A1007, $A$13:$AB$26, 8, 0)</f>
        <v>11</v>
      </c>
      <c r="G1007" s="99">
        <f t="shared" ref="G1007:G1013" si="7">HLOOKUP(A1007, $A$13:$AB$26, 9, 0)</f>
        <v>1</v>
      </c>
      <c r="H1007" s="99">
        <f t="shared" ref="H1007:H1013" si="8">HLOOKUP(A1007, $A$13:$AB$26, 10, 0)</f>
        <v>3</v>
      </c>
      <c r="I1007" s="100">
        <f t="shared" ref="I1007:I1013" si="9">HLOOKUP(A1007, $A$13:$AB$26, 11, 0)</f>
        <v>43.5</v>
      </c>
      <c r="J1007" s="101">
        <v>13</v>
      </c>
    </row>
    <row r="1008" spans="1:10">
      <c r="A1008" s="102" t="str">
        <f>G13</f>
        <v>Pentex</v>
      </c>
      <c r="B1008" s="103">
        <f t="shared" ref="B1008:B1013" si="10">HLOOKUP(A1008, $A$13:$AB$26, 4, 0)</f>
        <v>0</v>
      </c>
      <c r="C1008" s="103">
        <f t="shared" si="3"/>
        <v>0</v>
      </c>
      <c r="D1008" s="103">
        <f t="shared" si="4"/>
        <v>0</v>
      </c>
      <c r="E1008" s="103">
        <f t="shared" si="5"/>
        <v>0</v>
      </c>
      <c r="F1008" s="103">
        <f t="shared" si="6"/>
        <v>0</v>
      </c>
      <c r="G1008" s="103">
        <f t="shared" si="7"/>
        <v>0</v>
      </c>
      <c r="H1008" s="103">
        <f t="shared" si="8"/>
        <v>0</v>
      </c>
      <c r="I1008" s="104">
        <f t="shared" si="9"/>
        <v>0</v>
      </c>
      <c r="J1008" s="77">
        <v>13</v>
      </c>
    </row>
    <row r="1009" spans="1:10">
      <c r="A1009" s="105" t="str">
        <f>K13</f>
        <v>Lawless</v>
      </c>
      <c r="B1009" s="103">
        <f t="shared" si="10"/>
        <v>0</v>
      </c>
      <c r="C1009" s="103">
        <f t="shared" si="3"/>
        <v>0</v>
      </c>
      <c r="D1009" s="103">
        <f t="shared" si="4"/>
        <v>1</v>
      </c>
      <c r="E1009" s="103">
        <f t="shared" si="5"/>
        <v>0</v>
      </c>
      <c r="F1009" s="103">
        <f t="shared" si="6"/>
        <v>4</v>
      </c>
      <c r="G1009" s="103">
        <f t="shared" si="7"/>
        <v>0</v>
      </c>
      <c r="H1009" s="103">
        <f t="shared" si="8"/>
        <v>2</v>
      </c>
      <c r="I1009" s="104">
        <f t="shared" si="9"/>
        <v>9.5</v>
      </c>
      <c r="J1009" s="77">
        <v>13</v>
      </c>
    </row>
    <row r="1010" spans="1:10">
      <c r="A1010" s="105" t="str">
        <f>O13</f>
        <v>Emrullah</v>
      </c>
      <c r="B1010" s="103">
        <f t="shared" si="10"/>
        <v>0</v>
      </c>
      <c r="C1010" s="103">
        <f t="shared" si="3"/>
        <v>0</v>
      </c>
      <c r="D1010" s="103">
        <f t="shared" si="4"/>
        <v>2</v>
      </c>
      <c r="E1010" s="103">
        <f t="shared" si="5"/>
        <v>4</v>
      </c>
      <c r="F1010" s="103">
        <f t="shared" si="6"/>
        <v>11</v>
      </c>
      <c r="G1010" s="103">
        <f t="shared" si="7"/>
        <v>0</v>
      </c>
      <c r="H1010" s="103">
        <f t="shared" si="8"/>
        <v>4</v>
      </c>
      <c r="I1010" s="104">
        <f t="shared" si="9"/>
        <v>28</v>
      </c>
      <c r="J1010" s="77">
        <v>13</v>
      </c>
    </row>
    <row r="1011" spans="1:10">
      <c r="A1011" s="102" t="str">
        <f>S13</f>
        <v>PlanetMonster</v>
      </c>
      <c r="B1011" s="103">
        <f t="shared" si="10"/>
        <v>0</v>
      </c>
      <c r="C1011" s="103">
        <f t="shared" si="3"/>
        <v>0</v>
      </c>
      <c r="D1011" s="103">
        <f t="shared" si="4"/>
        <v>0</v>
      </c>
      <c r="E1011" s="103">
        <f t="shared" si="5"/>
        <v>0</v>
      </c>
      <c r="F1011" s="103">
        <f t="shared" si="6"/>
        <v>0</v>
      </c>
      <c r="G1011" s="103">
        <f t="shared" si="7"/>
        <v>0</v>
      </c>
      <c r="H1011" s="103">
        <f t="shared" si="8"/>
        <v>0</v>
      </c>
      <c r="I1011" s="104">
        <f t="shared" si="9"/>
        <v>0</v>
      </c>
      <c r="J1011" s="77">
        <v>13</v>
      </c>
    </row>
    <row r="1012" spans="1:10">
      <c r="A1012" s="102" t="str">
        <f>W13</f>
        <v>Quijprea</v>
      </c>
      <c r="B1012" s="103">
        <f t="shared" si="10"/>
        <v>0</v>
      </c>
      <c r="C1012" s="103">
        <f t="shared" si="3"/>
        <v>0</v>
      </c>
      <c r="D1012" s="103">
        <f t="shared" si="4"/>
        <v>1</v>
      </c>
      <c r="E1012" s="103">
        <f t="shared" si="5"/>
        <v>0</v>
      </c>
      <c r="F1012" s="103">
        <f t="shared" si="6"/>
        <v>12</v>
      </c>
      <c r="G1012" s="103">
        <f t="shared" si="7"/>
        <v>1</v>
      </c>
      <c r="H1012" s="103">
        <f t="shared" si="8"/>
        <v>3</v>
      </c>
      <c r="I1012" s="104">
        <f t="shared" si="9"/>
        <v>23.5</v>
      </c>
      <c r="J1012" s="77">
        <v>13</v>
      </c>
    </row>
    <row r="1013" spans="1:10">
      <c r="A1013" s="102">
        <v>0</v>
      </c>
      <c r="B1013" s="103" t="e">
        <f t="shared" si="10"/>
        <v>#N/A</v>
      </c>
      <c r="C1013" s="103" t="e">
        <f t="shared" si="3"/>
        <v>#N/A</v>
      </c>
      <c r="D1013" s="103" t="e">
        <f t="shared" si="4"/>
        <v>#N/A</v>
      </c>
      <c r="E1013" s="103" t="e">
        <f t="shared" si="5"/>
        <v>#N/A</v>
      </c>
      <c r="F1013" s="103" t="e">
        <f t="shared" si="6"/>
        <v>#N/A</v>
      </c>
      <c r="G1013" s="103" t="e">
        <f t="shared" si="7"/>
        <v>#N/A</v>
      </c>
      <c r="H1013" s="103" t="e">
        <f t="shared" si="8"/>
        <v>#N/A</v>
      </c>
      <c r="I1013" s="104">
        <v>0</v>
      </c>
      <c r="J1013" s="77">
        <v>13</v>
      </c>
    </row>
    <row r="1014" spans="1:10">
      <c r="A1014" s="106" t="str">
        <f>C29</f>
        <v>Skyline</v>
      </c>
      <c r="B1014" s="99">
        <f t="shared" ref="B1014:B1020" si="11">HLOOKUP(A1014, $A$29:$AB$42, 4, 0)</f>
        <v>1</v>
      </c>
      <c r="C1014" s="99">
        <f t="shared" ref="C1014:C1020" si="12">HLOOKUP(A1014, $A$29:$AB$42, 5, 0)</f>
        <v>0</v>
      </c>
      <c r="D1014" s="99">
        <f t="shared" ref="D1014:D1020" si="13">HLOOKUP(A1014, $A$29:$AB$42, 6, 0)</f>
        <v>0</v>
      </c>
      <c r="E1014" s="99">
        <f t="shared" ref="E1014:E1020" si="14">HLOOKUP(A1014, $A$29:$AB$42, 7, 0)</f>
        <v>1</v>
      </c>
      <c r="F1014" s="99">
        <f t="shared" ref="F1014:F1020" si="15">HLOOKUP(A1014, $A$29:$AB$42, 8, 0)</f>
        <v>3</v>
      </c>
      <c r="G1014" s="99">
        <f t="shared" ref="G1014:G1020" si="16">HLOOKUP(A1014, $A$29:$AB$42, 9, 0)</f>
        <v>0</v>
      </c>
      <c r="H1014" s="99">
        <f t="shared" ref="H1014:H1020" si="17">HLOOKUP(A1014, $A$29:$AB$42, 10, 0)</f>
        <v>4</v>
      </c>
      <c r="I1014" s="107">
        <f t="shared" ref="I1014:I1020" si="18">HLOOKUP(A1014, $A$29:$AB$42, 11, 0)</f>
        <v>16.5</v>
      </c>
      <c r="J1014" s="101">
        <v>29</v>
      </c>
    </row>
    <row r="1015" spans="1:10">
      <c r="A1015" s="105" t="str">
        <f>G29</f>
        <v>Arkham</v>
      </c>
      <c r="B1015" s="103">
        <f t="shared" si="11"/>
        <v>0</v>
      </c>
      <c r="C1015" s="103">
        <f t="shared" si="12"/>
        <v>0</v>
      </c>
      <c r="D1015" s="103">
        <f t="shared" si="13"/>
        <v>0</v>
      </c>
      <c r="E1015" s="103">
        <f t="shared" si="14"/>
        <v>0</v>
      </c>
      <c r="F1015" s="103">
        <f t="shared" si="15"/>
        <v>10</v>
      </c>
      <c r="G1015" s="103">
        <f t="shared" si="16"/>
        <v>0</v>
      </c>
      <c r="H1015" s="103">
        <f t="shared" si="17"/>
        <v>1</v>
      </c>
      <c r="I1015" s="108">
        <f t="shared" si="18"/>
        <v>12</v>
      </c>
      <c r="J1015" s="77">
        <v>29</v>
      </c>
    </row>
    <row r="1016" spans="1:10">
      <c r="A1016" s="105" t="str">
        <f>K29</f>
        <v>Altair</v>
      </c>
      <c r="B1016" s="103">
        <f t="shared" si="11"/>
        <v>0</v>
      </c>
      <c r="C1016" s="103">
        <f t="shared" si="12"/>
        <v>0</v>
      </c>
      <c r="D1016" s="103">
        <f t="shared" si="13"/>
        <v>0</v>
      </c>
      <c r="E1016" s="103">
        <f t="shared" si="14"/>
        <v>1</v>
      </c>
      <c r="F1016" s="103">
        <f t="shared" si="15"/>
        <v>3</v>
      </c>
      <c r="G1016" s="103">
        <f t="shared" si="16"/>
        <v>2</v>
      </c>
      <c r="H1016" s="103">
        <f t="shared" si="17"/>
        <v>2</v>
      </c>
      <c r="I1016" s="108">
        <f t="shared" si="18"/>
        <v>16.5</v>
      </c>
      <c r="J1016" s="77">
        <v>29</v>
      </c>
    </row>
    <row r="1017" spans="1:10">
      <c r="A1017" s="102" t="str">
        <f>O29</f>
        <v>Cherif</v>
      </c>
      <c r="B1017" s="103">
        <f t="shared" si="11"/>
        <v>0</v>
      </c>
      <c r="C1017" s="103">
        <f t="shared" si="12"/>
        <v>0</v>
      </c>
      <c r="D1017" s="103">
        <f t="shared" si="13"/>
        <v>0</v>
      </c>
      <c r="E1017" s="103">
        <f t="shared" si="14"/>
        <v>0</v>
      </c>
      <c r="F1017" s="103">
        <f t="shared" si="15"/>
        <v>0</v>
      </c>
      <c r="G1017" s="103">
        <f t="shared" si="16"/>
        <v>0</v>
      </c>
      <c r="H1017" s="103">
        <f t="shared" si="17"/>
        <v>0</v>
      </c>
      <c r="I1017" s="108">
        <f t="shared" si="18"/>
        <v>0</v>
      </c>
      <c r="J1017" s="77">
        <v>29</v>
      </c>
    </row>
    <row r="1018" spans="1:10">
      <c r="A1018" s="102" t="str">
        <f>S29</f>
        <v>Harun</v>
      </c>
      <c r="B1018" s="103">
        <f t="shared" si="11"/>
        <v>0</v>
      </c>
      <c r="C1018" s="103">
        <f t="shared" si="12"/>
        <v>0</v>
      </c>
      <c r="D1018" s="103">
        <f t="shared" si="13"/>
        <v>0</v>
      </c>
      <c r="E1018" s="103">
        <f t="shared" si="14"/>
        <v>2</v>
      </c>
      <c r="F1018" s="103">
        <f t="shared" si="15"/>
        <v>9</v>
      </c>
      <c r="G1018" s="103">
        <f t="shared" si="16"/>
        <v>1</v>
      </c>
      <c r="H1018" s="103">
        <f t="shared" si="17"/>
        <v>5</v>
      </c>
      <c r="I1018" s="108">
        <f t="shared" si="18"/>
        <v>26</v>
      </c>
      <c r="J1018" s="77">
        <v>29</v>
      </c>
    </row>
    <row r="1019" spans="1:10">
      <c r="A1019" s="102" t="str">
        <f>W29</f>
        <v>SalgaG</v>
      </c>
      <c r="B1019" s="103">
        <f t="shared" si="11"/>
        <v>0</v>
      </c>
      <c r="C1019" s="103">
        <f t="shared" si="12"/>
        <v>0</v>
      </c>
      <c r="D1019" s="103">
        <f t="shared" si="13"/>
        <v>0</v>
      </c>
      <c r="E1019" s="103">
        <f t="shared" si="14"/>
        <v>0</v>
      </c>
      <c r="F1019" s="103">
        <f t="shared" si="15"/>
        <v>5</v>
      </c>
      <c r="G1019" s="103">
        <f t="shared" si="16"/>
        <v>1</v>
      </c>
      <c r="H1019" s="103">
        <f t="shared" si="17"/>
        <v>0</v>
      </c>
      <c r="I1019" s="108">
        <f t="shared" si="18"/>
        <v>9</v>
      </c>
      <c r="J1019" s="77">
        <v>29</v>
      </c>
    </row>
    <row r="1020" spans="1:10">
      <c r="A1020" s="105">
        <v>0</v>
      </c>
      <c r="B1020" s="103" t="e">
        <f t="shared" si="11"/>
        <v>#N/A</v>
      </c>
      <c r="C1020" s="103" t="e">
        <f t="shared" si="12"/>
        <v>#N/A</v>
      </c>
      <c r="D1020" s="103" t="e">
        <f t="shared" si="13"/>
        <v>#N/A</v>
      </c>
      <c r="E1020" s="103" t="e">
        <f t="shared" si="14"/>
        <v>#N/A</v>
      </c>
      <c r="F1020" s="103" t="e">
        <f t="shared" si="15"/>
        <v>#N/A</v>
      </c>
      <c r="G1020" s="103" t="e">
        <f t="shared" si="16"/>
        <v>#N/A</v>
      </c>
      <c r="H1020" s="103" t="e">
        <f t="shared" si="17"/>
        <v>#N/A</v>
      </c>
      <c r="I1020" s="108">
        <v>0</v>
      </c>
      <c r="J1020" s="77">
        <v>29</v>
      </c>
    </row>
    <row r="1021" spans="1:10" ht="15.75" customHeight="1">
      <c r="A1021" s="109" t="str">
        <f>C45</f>
        <v>TaklaciBaykus</v>
      </c>
      <c r="B1021" s="99">
        <f t="shared" ref="B1021:B1027" si="19">HLOOKUP(A1021, $A$45:$AB$58, 4, 0)</f>
        <v>0</v>
      </c>
      <c r="C1021" s="99">
        <f t="shared" ref="C1021:C1027" si="20">HLOOKUP(A1021, $A$45:$AB$58, 5, 0)</f>
        <v>0</v>
      </c>
      <c r="D1021" s="99">
        <f t="shared" ref="D1021:D1027" si="21">HLOOKUP(A1021, $A$45:$AB$58, 6, 0)</f>
        <v>0</v>
      </c>
      <c r="E1021" s="99">
        <f t="shared" ref="E1021:E1027" si="22">HLOOKUP(A1021, $A$45:$AB$58, 7, 0)</f>
        <v>5</v>
      </c>
      <c r="F1021" s="99">
        <f t="shared" ref="F1021:F1027" si="23">HLOOKUP(A1021, $A$45:$AB$58, 8, 0)</f>
        <v>6</v>
      </c>
      <c r="G1021" s="99">
        <f t="shared" ref="G1021:G1027" si="24">HLOOKUP(A1021, $A$45:$AB$58, 9, 0)</f>
        <v>0</v>
      </c>
      <c r="H1021" s="99">
        <f t="shared" ref="H1021:H1027" si="25">HLOOKUP(A1021, $A$45:$AB$58, 10, 0)</f>
        <v>2</v>
      </c>
      <c r="I1021" s="110">
        <f t="shared" ref="I1021:I1027" si="26">HLOOKUP(A1021, $A$45:$AB$58, 11, 0)</f>
        <v>17.5</v>
      </c>
      <c r="J1021" s="101">
        <v>45</v>
      </c>
    </row>
    <row r="1022" spans="1:10" ht="15.75" customHeight="1">
      <c r="A1022" s="105" t="str">
        <f>G45</f>
        <v>DaFlaky</v>
      </c>
      <c r="B1022" s="103">
        <f t="shared" si="19"/>
        <v>0</v>
      </c>
      <c r="C1022" s="103">
        <f t="shared" si="20"/>
        <v>0</v>
      </c>
      <c r="D1022" s="103">
        <f t="shared" si="21"/>
        <v>0</v>
      </c>
      <c r="E1022" s="103">
        <f t="shared" si="22"/>
        <v>0</v>
      </c>
      <c r="F1022" s="103">
        <f t="shared" si="23"/>
        <v>3</v>
      </c>
      <c r="G1022" s="103">
        <f t="shared" si="24"/>
        <v>0</v>
      </c>
      <c r="H1022" s="103">
        <f t="shared" si="25"/>
        <v>0</v>
      </c>
      <c r="I1022" s="111">
        <f t="shared" si="26"/>
        <v>3</v>
      </c>
      <c r="J1022" s="77">
        <v>45</v>
      </c>
    </row>
    <row r="1023" spans="1:10" ht="15.75" customHeight="1">
      <c r="A1023" s="102" t="str">
        <f>K45</f>
        <v>Greaten</v>
      </c>
      <c r="B1023" s="103">
        <f t="shared" si="19"/>
        <v>0</v>
      </c>
      <c r="C1023" s="103">
        <f t="shared" si="20"/>
        <v>0</v>
      </c>
      <c r="D1023" s="103">
        <f t="shared" si="21"/>
        <v>1</v>
      </c>
      <c r="E1023" s="103">
        <f t="shared" si="22"/>
        <v>4</v>
      </c>
      <c r="F1023" s="103">
        <f t="shared" si="23"/>
        <v>2</v>
      </c>
      <c r="G1023" s="103">
        <f t="shared" si="24"/>
        <v>0</v>
      </c>
      <c r="H1023" s="103">
        <f t="shared" si="25"/>
        <v>5</v>
      </c>
      <c r="I1023" s="111">
        <f t="shared" si="26"/>
        <v>19.5</v>
      </c>
      <c r="J1023" s="77">
        <v>45</v>
      </c>
    </row>
    <row r="1024" spans="1:10" ht="15.75" customHeight="1">
      <c r="A1024" s="102" t="str">
        <f>O45</f>
        <v>Atthenum</v>
      </c>
      <c r="B1024" s="103">
        <f t="shared" si="19"/>
        <v>0</v>
      </c>
      <c r="C1024" s="103">
        <f t="shared" si="20"/>
        <v>0</v>
      </c>
      <c r="D1024" s="103">
        <f t="shared" si="21"/>
        <v>0</v>
      </c>
      <c r="E1024" s="103">
        <f t="shared" si="22"/>
        <v>3</v>
      </c>
      <c r="F1024" s="103">
        <f t="shared" si="23"/>
        <v>7</v>
      </c>
      <c r="G1024" s="103">
        <f t="shared" si="24"/>
        <v>0</v>
      </c>
      <c r="H1024" s="103">
        <f t="shared" si="25"/>
        <v>0</v>
      </c>
      <c r="I1024" s="111">
        <f t="shared" si="26"/>
        <v>11.5</v>
      </c>
      <c r="J1024" s="77">
        <v>45</v>
      </c>
    </row>
    <row r="1025" spans="1:10" ht="15.75" customHeight="1">
      <c r="A1025" s="102" t="str">
        <f>S45</f>
        <v>Dudu</v>
      </c>
      <c r="B1025" s="103">
        <f t="shared" si="19"/>
        <v>0</v>
      </c>
      <c r="C1025" s="103">
        <f t="shared" si="20"/>
        <v>0</v>
      </c>
      <c r="D1025" s="103">
        <f t="shared" si="21"/>
        <v>0</v>
      </c>
      <c r="E1025" s="103">
        <f t="shared" si="22"/>
        <v>0</v>
      </c>
      <c r="F1025" s="103">
        <f t="shared" si="23"/>
        <v>5</v>
      </c>
      <c r="G1025" s="103">
        <f t="shared" si="24"/>
        <v>1</v>
      </c>
      <c r="H1025" s="103">
        <f t="shared" si="25"/>
        <v>1</v>
      </c>
      <c r="I1025" s="111">
        <f t="shared" si="26"/>
        <v>11</v>
      </c>
      <c r="J1025" s="77">
        <v>45</v>
      </c>
    </row>
    <row r="1026" spans="1:10" ht="15.75" customHeight="1">
      <c r="A1026" s="102">
        <v>0</v>
      </c>
      <c r="B1026" s="103" t="e">
        <f t="shared" si="19"/>
        <v>#N/A</v>
      </c>
      <c r="C1026" s="103" t="e">
        <f t="shared" si="20"/>
        <v>#N/A</v>
      </c>
      <c r="D1026" s="103" t="e">
        <f t="shared" si="21"/>
        <v>#N/A</v>
      </c>
      <c r="E1026" s="103" t="e">
        <f t="shared" si="22"/>
        <v>#N/A</v>
      </c>
      <c r="F1026" s="103" t="e">
        <f t="shared" si="23"/>
        <v>#N/A</v>
      </c>
      <c r="G1026" s="103" t="e">
        <f t="shared" si="24"/>
        <v>#N/A</v>
      </c>
      <c r="H1026" s="103" t="e">
        <f t="shared" si="25"/>
        <v>#N/A</v>
      </c>
      <c r="I1026" s="111">
        <v>0</v>
      </c>
      <c r="J1026" s="77">
        <v>45</v>
      </c>
    </row>
    <row r="1027" spans="1:10" ht="15.75" customHeight="1">
      <c r="A1027" s="105">
        <v>0</v>
      </c>
      <c r="B1027" s="103" t="e">
        <f t="shared" si="19"/>
        <v>#N/A</v>
      </c>
      <c r="C1027" s="103" t="e">
        <f t="shared" si="20"/>
        <v>#N/A</v>
      </c>
      <c r="D1027" s="103" t="e">
        <f t="shared" si="21"/>
        <v>#N/A</v>
      </c>
      <c r="E1027" s="103" t="e">
        <f t="shared" si="22"/>
        <v>#N/A</v>
      </c>
      <c r="F1027" s="103" t="e">
        <f t="shared" si="23"/>
        <v>#N/A</v>
      </c>
      <c r="G1027" s="103" t="e">
        <f t="shared" si="24"/>
        <v>#N/A</v>
      </c>
      <c r="H1027" s="103" t="e">
        <f t="shared" si="25"/>
        <v>#N/A</v>
      </c>
      <c r="I1027" s="111">
        <v>0</v>
      </c>
      <c r="J1027" s="77">
        <v>45</v>
      </c>
    </row>
    <row r="1028" spans="1:10">
      <c r="A1028" s="109">
        <v>0</v>
      </c>
      <c r="B1028" s="99" t="e">
        <f t="shared" ref="B1028:B1034" si="27">HLOOKUP(A1028, $A$61:$AB$74, 4, 0)</f>
        <v>#N/A</v>
      </c>
      <c r="C1028" s="99" t="e">
        <f t="shared" ref="C1028:C1034" si="28">HLOOKUP(A1028, $A$61:$AB$74, 5, 0)</f>
        <v>#N/A</v>
      </c>
      <c r="D1028" s="99" t="e">
        <f t="shared" ref="D1028:D1034" si="29">HLOOKUP(A1028, $A$61:$AB$74, 6, 0)</f>
        <v>#N/A</v>
      </c>
      <c r="E1028" s="99" t="e">
        <f t="shared" ref="E1028:E1034" si="30">HLOOKUP(A1028, $A$61:$AB$74, 7, 0)</f>
        <v>#N/A</v>
      </c>
      <c r="F1028" s="99" t="e">
        <f t="shared" ref="F1028:F1034" si="31">HLOOKUP(A1028, $A$61:$AB$74, 8, 0)</f>
        <v>#N/A</v>
      </c>
      <c r="G1028" s="99" t="e">
        <f t="shared" ref="G1028:G1034" si="32">HLOOKUP(A1028, $A$61:$AB$74, 9, 0)</f>
        <v>#N/A</v>
      </c>
      <c r="H1028" s="99" t="e">
        <f t="shared" ref="H1028:H1034" si="33">HLOOKUP(A1028, $A$61:$AB$74, 10, 0)</f>
        <v>#N/A</v>
      </c>
      <c r="I1028" s="107">
        <v>0</v>
      </c>
      <c r="J1028" s="101">
        <v>61</v>
      </c>
    </row>
    <row r="1029" spans="1:10">
      <c r="A1029" s="102">
        <v>0</v>
      </c>
      <c r="B1029" s="103" t="e">
        <f t="shared" si="27"/>
        <v>#N/A</v>
      </c>
      <c r="C1029" s="103" t="e">
        <f t="shared" si="28"/>
        <v>#N/A</v>
      </c>
      <c r="D1029" s="103" t="e">
        <f t="shared" si="29"/>
        <v>#N/A</v>
      </c>
      <c r="E1029" s="103" t="e">
        <f t="shared" si="30"/>
        <v>#N/A</v>
      </c>
      <c r="F1029" s="103" t="e">
        <f t="shared" si="31"/>
        <v>#N/A</v>
      </c>
      <c r="G1029" s="103" t="e">
        <f t="shared" si="32"/>
        <v>#N/A</v>
      </c>
      <c r="H1029" s="103" t="e">
        <f t="shared" si="33"/>
        <v>#N/A</v>
      </c>
      <c r="I1029" s="108">
        <v>0</v>
      </c>
      <c r="J1029" s="77">
        <v>61</v>
      </c>
    </row>
    <row r="1030" spans="1:10">
      <c r="A1030" s="102">
        <v>0</v>
      </c>
      <c r="B1030" s="103" t="e">
        <f t="shared" si="27"/>
        <v>#N/A</v>
      </c>
      <c r="C1030" s="103" t="e">
        <f t="shared" si="28"/>
        <v>#N/A</v>
      </c>
      <c r="D1030" s="103" t="e">
        <f t="shared" si="29"/>
        <v>#N/A</v>
      </c>
      <c r="E1030" s="103" t="e">
        <f t="shared" si="30"/>
        <v>#N/A</v>
      </c>
      <c r="F1030" s="103" t="e">
        <f t="shared" si="31"/>
        <v>#N/A</v>
      </c>
      <c r="G1030" s="103" t="e">
        <f t="shared" si="32"/>
        <v>#N/A</v>
      </c>
      <c r="H1030" s="103" t="e">
        <f t="shared" si="33"/>
        <v>#N/A</v>
      </c>
      <c r="I1030" s="108">
        <v>0</v>
      </c>
      <c r="J1030" s="77">
        <v>61</v>
      </c>
    </row>
    <row r="1031" spans="1:10">
      <c r="A1031" s="102">
        <v>0</v>
      </c>
      <c r="B1031" s="103" t="e">
        <f t="shared" si="27"/>
        <v>#N/A</v>
      </c>
      <c r="C1031" s="103" t="e">
        <f t="shared" si="28"/>
        <v>#N/A</v>
      </c>
      <c r="D1031" s="103" t="e">
        <f t="shared" si="29"/>
        <v>#N/A</v>
      </c>
      <c r="E1031" s="103" t="e">
        <f t="shared" si="30"/>
        <v>#N/A</v>
      </c>
      <c r="F1031" s="103" t="e">
        <f t="shared" si="31"/>
        <v>#N/A</v>
      </c>
      <c r="G1031" s="103" t="e">
        <f t="shared" si="32"/>
        <v>#N/A</v>
      </c>
      <c r="H1031" s="103" t="e">
        <f t="shared" si="33"/>
        <v>#N/A</v>
      </c>
      <c r="I1031" s="108">
        <v>0</v>
      </c>
      <c r="J1031" s="77">
        <v>61</v>
      </c>
    </row>
    <row r="1032" spans="1:10">
      <c r="A1032" s="102">
        <v>0</v>
      </c>
      <c r="B1032" s="103" t="e">
        <f t="shared" si="27"/>
        <v>#N/A</v>
      </c>
      <c r="C1032" s="103" t="e">
        <f t="shared" si="28"/>
        <v>#N/A</v>
      </c>
      <c r="D1032" s="103" t="e">
        <f t="shared" si="29"/>
        <v>#N/A</v>
      </c>
      <c r="E1032" s="103" t="e">
        <f t="shared" si="30"/>
        <v>#N/A</v>
      </c>
      <c r="F1032" s="103" t="e">
        <f t="shared" si="31"/>
        <v>#N/A</v>
      </c>
      <c r="G1032" s="103" t="e">
        <f t="shared" si="32"/>
        <v>#N/A</v>
      </c>
      <c r="H1032" s="103" t="e">
        <f t="shared" si="33"/>
        <v>#N/A</v>
      </c>
      <c r="I1032" s="108">
        <v>0</v>
      </c>
      <c r="J1032" s="77">
        <v>61</v>
      </c>
    </row>
    <row r="1033" spans="1:10">
      <c r="A1033" s="102">
        <v>0</v>
      </c>
      <c r="B1033" s="103" t="e">
        <f t="shared" si="27"/>
        <v>#N/A</v>
      </c>
      <c r="C1033" s="103" t="e">
        <f t="shared" si="28"/>
        <v>#N/A</v>
      </c>
      <c r="D1033" s="103" t="e">
        <f t="shared" si="29"/>
        <v>#N/A</v>
      </c>
      <c r="E1033" s="103" t="e">
        <f t="shared" si="30"/>
        <v>#N/A</v>
      </c>
      <c r="F1033" s="103" t="e">
        <f t="shared" si="31"/>
        <v>#N/A</v>
      </c>
      <c r="G1033" s="103" t="e">
        <f t="shared" si="32"/>
        <v>#N/A</v>
      </c>
      <c r="H1033" s="103" t="e">
        <f t="shared" si="33"/>
        <v>#N/A</v>
      </c>
      <c r="I1033" s="108">
        <v>0</v>
      </c>
      <c r="J1033" s="77">
        <v>61</v>
      </c>
    </row>
    <row r="1034" spans="1:10">
      <c r="A1034" s="42">
        <v>0</v>
      </c>
      <c r="B1034" s="103" t="e">
        <f t="shared" si="27"/>
        <v>#N/A</v>
      </c>
      <c r="C1034" s="103" t="e">
        <f t="shared" si="28"/>
        <v>#N/A</v>
      </c>
      <c r="D1034" s="103" t="e">
        <f t="shared" si="29"/>
        <v>#N/A</v>
      </c>
      <c r="E1034" s="103" t="e">
        <f t="shared" si="30"/>
        <v>#N/A</v>
      </c>
      <c r="F1034" s="103" t="e">
        <f t="shared" si="31"/>
        <v>#N/A</v>
      </c>
      <c r="G1034" s="103" t="e">
        <f t="shared" si="32"/>
        <v>#N/A</v>
      </c>
      <c r="H1034" s="103" t="e">
        <f t="shared" si="33"/>
        <v>#N/A</v>
      </c>
      <c r="I1034" s="108">
        <v>0</v>
      </c>
      <c r="J1034" s="77">
        <v>61</v>
      </c>
    </row>
    <row r="1035" spans="1:10">
      <c r="A1035" s="109">
        <v>0</v>
      </c>
      <c r="B1035" s="99" t="e">
        <f t="shared" ref="B1035:B1041" si="34">HLOOKUP(A1035, $A$77:$AB$90, 4, 0)</f>
        <v>#N/A</v>
      </c>
      <c r="C1035" s="99" t="e">
        <f t="shared" ref="C1035:C1041" si="35">HLOOKUP(A1035, $A$77:$AB$90, 5, 0)</f>
        <v>#N/A</v>
      </c>
      <c r="D1035" s="99" t="e">
        <f t="shared" ref="D1035:D1041" si="36">HLOOKUP(A1035, $A$77:$AB$90, 6, 0)</f>
        <v>#N/A</v>
      </c>
      <c r="E1035" s="99" t="e">
        <f t="shared" ref="E1035:E1041" si="37">HLOOKUP(A1035, $A$77:$AB$90, 7, 0)</f>
        <v>#N/A</v>
      </c>
      <c r="F1035" s="99" t="e">
        <f t="shared" ref="F1035:F1041" si="38">HLOOKUP(A1035, $A$77:$AB$90, 8, 0)</f>
        <v>#N/A</v>
      </c>
      <c r="G1035" s="99" t="e">
        <f t="shared" ref="G1035:G1041" si="39">HLOOKUP(A1035, $A$77:$AB$90, 9, 0)</f>
        <v>#N/A</v>
      </c>
      <c r="H1035" s="99" t="e">
        <f t="shared" ref="H1035:H1041" si="40">HLOOKUP(A1035, $A$77:$AB$90, 10, 0)</f>
        <v>#N/A</v>
      </c>
      <c r="I1035" s="107">
        <v>0</v>
      </c>
      <c r="J1035" s="101">
        <v>77</v>
      </c>
    </row>
    <row r="1036" spans="1:10">
      <c r="A1036" s="93">
        <v>0</v>
      </c>
      <c r="B1036" s="103" t="e">
        <f t="shared" si="34"/>
        <v>#N/A</v>
      </c>
      <c r="C1036" s="103" t="e">
        <f t="shared" si="35"/>
        <v>#N/A</v>
      </c>
      <c r="D1036" s="103" t="e">
        <f t="shared" si="36"/>
        <v>#N/A</v>
      </c>
      <c r="E1036" s="103" t="e">
        <f t="shared" si="37"/>
        <v>#N/A</v>
      </c>
      <c r="F1036" s="103" t="e">
        <f t="shared" si="38"/>
        <v>#N/A</v>
      </c>
      <c r="G1036" s="103" t="e">
        <f t="shared" si="39"/>
        <v>#N/A</v>
      </c>
      <c r="H1036" s="103" t="e">
        <f t="shared" si="40"/>
        <v>#N/A</v>
      </c>
      <c r="I1036" s="108">
        <v>0</v>
      </c>
      <c r="J1036" s="77">
        <v>77</v>
      </c>
    </row>
    <row r="1037" spans="1:10">
      <c r="A1037" s="93">
        <v>0</v>
      </c>
      <c r="B1037" s="103" t="e">
        <f t="shared" si="34"/>
        <v>#N/A</v>
      </c>
      <c r="C1037" s="103" t="e">
        <f t="shared" si="35"/>
        <v>#N/A</v>
      </c>
      <c r="D1037" s="103" t="e">
        <f t="shared" si="36"/>
        <v>#N/A</v>
      </c>
      <c r="E1037" s="103" t="e">
        <f t="shared" si="37"/>
        <v>#N/A</v>
      </c>
      <c r="F1037" s="103" t="e">
        <f t="shared" si="38"/>
        <v>#N/A</v>
      </c>
      <c r="G1037" s="103" t="e">
        <f t="shared" si="39"/>
        <v>#N/A</v>
      </c>
      <c r="H1037" s="103" t="e">
        <f t="shared" si="40"/>
        <v>#N/A</v>
      </c>
      <c r="I1037" s="108">
        <v>0</v>
      </c>
      <c r="J1037" s="77">
        <v>77</v>
      </c>
    </row>
    <row r="1038" spans="1:10">
      <c r="A1038" s="93">
        <v>0</v>
      </c>
      <c r="B1038" s="103" t="e">
        <f t="shared" si="34"/>
        <v>#N/A</v>
      </c>
      <c r="C1038" s="103" t="e">
        <f t="shared" si="35"/>
        <v>#N/A</v>
      </c>
      <c r="D1038" s="103" t="e">
        <f t="shared" si="36"/>
        <v>#N/A</v>
      </c>
      <c r="E1038" s="103" t="e">
        <f t="shared" si="37"/>
        <v>#N/A</v>
      </c>
      <c r="F1038" s="103" t="e">
        <f t="shared" si="38"/>
        <v>#N/A</v>
      </c>
      <c r="G1038" s="103" t="e">
        <f t="shared" si="39"/>
        <v>#N/A</v>
      </c>
      <c r="H1038" s="103" t="e">
        <f t="shared" si="40"/>
        <v>#N/A</v>
      </c>
      <c r="I1038" s="108">
        <v>0</v>
      </c>
      <c r="J1038" s="77">
        <v>77</v>
      </c>
    </row>
    <row r="1039" spans="1:10">
      <c r="A1039" s="93">
        <v>0</v>
      </c>
      <c r="B1039" s="103" t="e">
        <f t="shared" si="34"/>
        <v>#N/A</v>
      </c>
      <c r="C1039" s="103" t="e">
        <f t="shared" si="35"/>
        <v>#N/A</v>
      </c>
      <c r="D1039" s="103" t="e">
        <f t="shared" si="36"/>
        <v>#N/A</v>
      </c>
      <c r="E1039" s="103" t="e">
        <f t="shared" si="37"/>
        <v>#N/A</v>
      </c>
      <c r="F1039" s="103" t="e">
        <f t="shared" si="38"/>
        <v>#N/A</v>
      </c>
      <c r="G1039" s="103" t="e">
        <f t="shared" si="39"/>
        <v>#N/A</v>
      </c>
      <c r="H1039" s="103" t="e">
        <f t="shared" si="40"/>
        <v>#N/A</v>
      </c>
      <c r="I1039" s="108">
        <v>0</v>
      </c>
      <c r="J1039" s="77">
        <v>77</v>
      </c>
    </row>
    <row r="1040" spans="1:10">
      <c r="A1040" s="93">
        <v>0</v>
      </c>
      <c r="B1040" s="103" t="e">
        <f t="shared" si="34"/>
        <v>#N/A</v>
      </c>
      <c r="C1040" s="103" t="e">
        <f t="shared" si="35"/>
        <v>#N/A</v>
      </c>
      <c r="D1040" s="103" t="e">
        <f t="shared" si="36"/>
        <v>#N/A</v>
      </c>
      <c r="E1040" s="103" t="e">
        <f t="shared" si="37"/>
        <v>#N/A</v>
      </c>
      <c r="F1040" s="103" t="e">
        <f t="shared" si="38"/>
        <v>#N/A</v>
      </c>
      <c r="G1040" s="103" t="e">
        <f t="shared" si="39"/>
        <v>#N/A</v>
      </c>
      <c r="H1040" s="103" t="e">
        <f t="shared" si="40"/>
        <v>#N/A</v>
      </c>
      <c r="I1040" s="108">
        <v>0</v>
      </c>
      <c r="J1040" s="77">
        <v>77</v>
      </c>
    </row>
    <row r="1041" spans="1:10">
      <c r="A1041" s="93">
        <v>0</v>
      </c>
      <c r="B1041" s="103" t="e">
        <f t="shared" si="34"/>
        <v>#N/A</v>
      </c>
      <c r="C1041" s="103" t="e">
        <f t="shared" si="35"/>
        <v>#N/A</v>
      </c>
      <c r="D1041" s="103" t="e">
        <f t="shared" si="36"/>
        <v>#N/A</v>
      </c>
      <c r="E1041" s="103" t="e">
        <f t="shared" si="37"/>
        <v>#N/A</v>
      </c>
      <c r="F1041" s="103" t="e">
        <f t="shared" si="38"/>
        <v>#N/A</v>
      </c>
      <c r="G1041" s="103" t="e">
        <f t="shared" si="39"/>
        <v>#N/A</v>
      </c>
      <c r="H1041" s="103" t="e">
        <f t="shared" si="40"/>
        <v>#N/A</v>
      </c>
      <c r="I1041" s="108">
        <v>0</v>
      </c>
      <c r="J1041" s="77">
        <v>77</v>
      </c>
    </row>
    <row r="1042" spans="1:10">
      <c r="A1042" s="93"/>
      <c r="B1042" s="2"/>
      <c r="C1042" s="2"/>
      <c r="D1042" s="2"/>
      <c r="E1042" s="2"/>
      <c r="F1042" s="2"/>
      <c r="G1042" s="2"/>
      <c r="H1042" s="2"/>
      <c r="I1042" s="94"/>
    </row>
    <row r="1043" spans="1:10">
      <c r="A1043" s="93"/>
      <c r="B1043" s="2"/>
      <c r="C1043" s="2"/>
      <c r="D1043" s="2"/>
      <c r="E1043" s="2"/>
      <c r="F1043" s="2"/>
      <c r="G1043" s="2"/>
      <c r="H1043" s="2"/>
      <c r="I1043" s="94"/>
    </row>
    <row r="1044" spans="1:10">
      <c r="A1044" s="93"/>
      <c r="B1044" s="2"/>
      <c r="C1044" s="2"/>
      <c r="D1044" s="2"/>
      <c r="E1044" s="2"/>
      <c r="F1044" s="2"/>
      <c r="G1044" s="2"/>
      <c r="H1044" s="2"/>
      <c r="I1044" s="94"/>
    </row>
    <row r="1045" spans="1:10">
      <c r="A1045" s="93"/>
      <c r="B1045" s="2"/>
      <c r="C1045" s="2"/>
      <c r="D1045" s="2"/>
      <c r="E1045" s="2"/>
      <c r="F1045" s="2"/>
      <c r="G1045" s="2"/>
      <c r="H1045" s="2"/>
      <c r="I1045" s="94"/>
    </row>
    <row r="1046" spans="1:10">
      <c r="A1046" s="93"/>
      <c r="B1046" s="2"/>
      <c r="C1046" s="2"/>
      <c r="D1046" s="2"/>
      <c r="E1046" s="2"/>
      <c r="F1046" s="2"/>
      <c r="G1046" s="2"/>
      <c r="H1046" s="2"/>
      <c r="I1046" s="94"/>
    </row>
    <row r="1047" spans="1:10">
      <c r="A1047" s="93"/>
      <c r="B1047" s="2"/>
      <c r="C1047" s="2"/>
      <c r="D1047" s="2"/>
      <c r="E1047" s="2"/>
      <c r="F1047" s="2"/>
      <c r="G1047" s="2"/>
      <c r="H1047" s="2"/>
      <c r="I1047" s="94"/>
    </row>
    <row r="1048" spans="1:10">
      <c r="A1048" s="93"/>
      <c r="B1048" s="2"/>
      <c r="C1048" s="2"/>
      <c r="D1048" s="2"/>
      <c r="E1048" s="2"/>
      <c r="F1048" s="2"/>
      <c r="G1048" s="2"/>
      <c r="H1048" s="2"/>
      <c r="I1048" s="94"/>
    </row>
    <row r="1049" spans="1:10">
      <c r="A1049" s="93"/>
      <c r="B1049" s="2"/>
      <c r="C1049" s="2"/>
      <c r="D1049" s="2"/>
      <c r="E1049" s="2"/>
      <c r="F1049" s="2"/>
      <c r="G1049" s="2"/>
      <c r="H1049" s="2"/>
      <c r="I1049" s="94"/>
    </row>
    <row r="1050" spans="1:10">
      <c r="A1050" s="93"/>
      <c r="B1050" s="2"/>
      <c r="C1050" s="2"/>
      <c r="D1050" s="2"/>
      <c r="E1050" s="2"/>
      <c r="F1050" s="2"/>
      <c r="G1050" s="2"/>
      <c r="H1050" s="2"/>
      <c r="I1050" s="94"/>
    </row>
    <row r="1051" spans="1:10">
      <c r="A1051" s="93"/>
      <c r="B1051" s="2"/>
      <c r="C1051" s="2"/>
      <c r="D1051" s="2"/>
      <c r="E1051" s="2"/>
      <c r="F1051" s="2"/>
      <c r="G1051" s="2"/>
      <c r="H1051" s="2"/>
      <c r="I1051" s="94"/>
    </row>
    <row r="1052" spans="1:10">
      <c r="A1052" s="93"/>
      <c r="B1052" s="2"/>
      <c r="C1052" s="2"/>
      <c r="D1052" s="2"/>
      <c r="E1052" s="2"/>
      <c r="F1052" s="2"/>
      <c r="G1052" s="2"/>
      <c r="H1052" s="2"/>
      <c r="I1052" s="94"/>
    </row>
    <row r="1053" spans="1:10">
      <c r="A1053" s="93"/>
      <c r="B1053" s="2"/>
      <c r="C1053" s="2"/>
      <c r="D1053" s="2"/>
      <c r="E1053" s="2"/>
      <c r="F1053" s="2"/>
      <c r="G1053" s="2"/>
      <c r="H1053" s="2"/>
      <c r="I1053" s="94"/>
    </row>
    <row r="1054" spans="1:10">
      <c r="A1054" s="93"/>
      <c r="B1054" s="2"/>
      <c r="C1054" s="2"/>
      <c r="D1054" s="2"/>
      <c r="E1054" s="2"/>
      <c r="F1054" s="2"/>
      <c r="G1054" s="2"/>
      <c r="H1054" s="2"/>
      <c r="I1054" s="94"/>
    </row>
    <row r="1055" spans="1:10">
      <c r="A1055" s="93"/>
      <c r="B1055" s="2"/>
      <c r="C1055" s="2"/>
      <c r="D1055" s="2"/>
      <c r="E1055" s="2"/>
      <c r="F1055" s="2"/>
      <c r="G1055" s="2"/>
      <c r="H1055" s="2"/>
      <c r="I1055" s="94"/>
    </row>
    <row r="1056" spans="1:10">
      <c r="A1056" s="93"/>
      <c r="B1056" s="2"/>
      <c r="C1056" s="2"/>
      <c r="D1056" s="2"/>
      <c r="E1056" s="2"/>
      <c r="F1056" s="2"/>
      <c r="G1056" s="2"/>
      <c r="H1056" s="2"/>
      <c r="I1056" s="94"/>
    </row>
    <row r="1057" spans="1:9">
      <c r="A1057" s="93"/>
      <c r="B1057" s="2"/>
      <c r="C1057" s="2"/>
      <c r="D1057" s="2"/>
      <c r="E1057" s="2"/>
      <c r="F1057" s="2"/>
      <c r="G1057" s="2"/>
      <c r="H1057" s="2"/>
      <c r="I1057" s="94"/>
    </row>
    <row r="1058" spans="1:9">
      <c r="A1058" s="93"/>
      <c r="B1058" s="2"/>
      <c r="C1058" s="2"/>
      <c r="D1058" s="2"/>
      <c r="E1058" s="2"/>
      <c r="F1058" s="2"/>
      <c r="G1058" s="2"/>
      <c r="H1058" s="2"/>
      <c r="I1058" s="94"/>
    </row>
    <row r="1059" spans="1:9">
      <c r="A1059" s="93"/>
      <c r="B1059" s="2"/>
      <c r="C1059" s="2"/>
      <c r="D1059" s="2"/>
      <c r="E1059" s="2"/>
      <c r="F1059" s="2"/>
      <c r="G1059" s="2"/>
      <c r="H1059" s="2"/>
      <c r="I1059" s="94"/>
    </row>
    <row r="1060" spans="1:9">
      <c r="A1060" s="93"/>
      <c r="B1060" s="2"/>
      <c r="C1060" s="2"/>
      <c r="D1060" s="2"/>
      <c r="E1060" s="2"/>
      <c r="F1060" s="2"/>
      <c r="G1060" s="2"/>
      <c r="H1060" s="2"/>
      <c r="I1060" s="94"/>
    </row>
    <row r="1061" spans="1:9">
      <c r="A1061" s="93"/>
      <c r="B1061" s="2"/>
      <c r="C1061" s="2"/>
      <c r="D1061" s="2"/>
      <c r="E1061" s="2"/>
      <c r="F1061" s="2"/>
      <c r="G1061" s="2"/>
      <c r="H1061" s="2"/>
      <c r="I1061" s="94"/>
    </row>
    <row r="1062" spans="1:9">
      <c r="A1062" s="93"/>
      <c r="B1062" s="2"/>
      <c r="C1062" s="2"/>
      <c r="D1062" s="2"/>
      <c r="E1062" s="2"/>
      <c r="F1062" s="2"/>
      <c r="G1062" s="2"/>
      <c r="H1062" s="2"/>
      <c r="I1062" s="94"/>
    </row>
    <row r="1063" spans="1:9">
      <c r="A1063" s="93"/>
      <c r="B1063" s="2"/>
      <c r="C1063" s="2"/>
      <c r="D1063" s="2"/>
      <c r="E1063" s="2"/>
      <c r="F1063" s="2"/>
      <c r="G1063" s="2"/>
      <c r="H1063" s="2"/>
      <c r="I1063" s="94"/>
    </row>
    <row r="1064" spans="1:9">
      <c r="A1064" s="93"/>
      <c r="B1064" s="2"/>
      <c r="C1064" s="2"/>
      <c r="D1064" s="2"/>
      <c r="E1064" s="2"/>
      <c r="F1064" s="2"/>
      <c r="G1064" s="2"/>
      <c r="H1064" s="2"/>
      <c r="I1064" s="94"/>
    </row>
    <row r="1065" spans="1:9">
      <c r="A1065" s="93"/>
      <c r="B1065" s="2"/>
      <c r="C1065" s="2"/>
      <c r="D1065" s="2"/>
      <c r="E1065" s="2"/>
      <c r="F1065" s="2"/>
      <c r="G1065" s="2"/>
      <c r="H1065" s="2"/>
      <c r="I1065" s="94"/>
    </row>
    <row r="1066" spans="1:9">
      <c r="A1066" s="93"/>
      <c r="B1066" s="2"/>
      <c r="C1066" s="2"/>
      <c r="D1066" s="2"/>
      <c r="E1066" s="2"/>
      <c r="F1066" s="2"/>
      <c r="G1066" s="2"/>
      <c r="H1066" s="2"/>
      <c r="I1066" s="94"/>
    </row>
    <row r="1067" spans="1:9">
      <c r="A1067" s="93"/>
      <c r="B1067" s="2"/>
      <c r="C1067" s="2"/>
      <c r="D1067" s="2"/>
      <c r="E1067" s="2"/>
      <c r="F1067" s="2"/>
      <c r="G1067" s="2"/>
      <c r="H1067" s="2"/>
      <c r="I1067" s="94"/>
    </row>
    <row r="1068" spans="1:9">
      <c r="A1068" s="93"/>
      <c r="B1068" s="2"/>
      <c r="C1068" s="2"/>
      <c r="D1068" s="2"/>
      <c r="E1068" s="2"/>
      <c r="F1068" s="2"/>
      <c r="G1068" s="2"/>
      <c r="H1068" s="2"/>
      <c r="I1068" s="94"/>
    </row>
    <row r="1069" spans="1:9">
      <c r="A1069" s="93"/>
      <c r="B1069" s="2"/>
      <c r="C1069" s="2"/>
      <c r="D1069" s="2"/>
      <c r="E1069" s="2"/>
      <c r="F1069" s="2"/>
      <c r="G1069" s="2"/>
      <c r="H1069" s="2"/>
      <c r="I1069" s="94"/>
    </row>
    <row r="1070" spans="1:9">
      <c r="A1070" s="93"/>
      <c r="B1070" s="2"/>
      <c r="C1070" s="2"/>
      <c r="D1070" s="2"/>
      <c r="E1070" s="2"/>
      <c r="F1070" s="2"/>
      <c r="G1070" s="2"/>
      <c r="H1070" s="2"/>
      <c r="I1070" s="94"/>
    </row>
    <row r="1071" spans="1:9">
      <c r="A1071" s="93"/>
      <c r="B1071" s="2"/>
      <c r="C1071" s="2"/>
      <c r="D1071" s="2"/>
      <c r="E1071" s="2"/>
      <c r="F1071" s="2"/>
      <c r="G1071" s="2"/>
      <c r="H1071" s="2"/>
      <c r="I1071" s="94"/>
    </row>
    <row r="1072" spans="1:9">
      <c r="A1072" s="93"/>
      <c r="B1072" s="2"/>
      <c r="C1072" s="2"/>
      <c r="D1072" s="2"/>
      <c r="E1072" s="2"/>
      <c r="F1072" s="2"/>
      <c r="G1072" s="2"/>
      <c r="H1072" s="2"/>
      <c r="I1072" s="94"/>
    </row>
    <row r="1073" spans="1:9">
      <c r="A1073" s="93"/>
      <c r="B1073" s="2"/>
      <c r="C1073" s="2"/>
      <c r="D1073" s="2"/>
      <c r="E1073" s="2"/>
      <c r="F1073" s="2"/>
      <c r="G1073" s="2"/>
      <c r="H1073" s="2"/>
      <c r="I1073" s="94"/>
    </row>
    <row r="1074" spans="1:9">
      <c r="A1074" s="93"/>
      <c r="B1074" s="2"/>
      <c r="C1074" s="2"/>
      <c r="D1074" s="2"/>
      <c r="E1074" s="2"/>
      <c r="F1074" s="2"/>
      <c r="G1074" s="2"/>
      <c r="H1074" s="2"/>
      <c r="I1074" s="94"/>
    </row>
    <row r="1075" spans="1:9">
      <c r="A1075" s="93"/>
      <c r="B1075" s="2"/>
      <c r="C1075" s="2"/>
      <c r="D1075" s="2"/>
      <c r="E1075" s="2"/>
      <c r="F1075" s="2"/>
      <c r="G1075" s="2"/>
      <c r="H1075" s="2"/>
      <c r="I1075" s="94"/>
    </row>
    <row r="1076" spans="1:9">
      <c r="A1076" s="93"/>
      <c r="B1076" s="2"/>
      <c r="C1076" s="2"/>
      <c r="D1076" s="2"/>
      <c r="E1076" s="2"/>
      <c r="F1076" s="2"/>
      <c r="G1076" s="2"/>
      <c r="H1076" s="2"/>
      <c r="I1076" s="94"/>
    </row>
    <row r="1077" spans="1:9">
      <c r="A1077" s="93"/>
      <c r="B1077" s="2"/>
      <c r="C1077" s="2"/>
      <c r="D1077" s="2"/>
      <c r="E1077" s="2"/>
      <c r="F1077" s="2"/>
      <c r="G1077" s="2"/>
      <c r="H1077" s="2"/>
      <c r="I1077" s="94"/>
    </row>
    <row r="1078" spans="1:9">
      <c r="A1078" s="93"/>
      <c r="B1078" s="2"/>
      <c r="C1078" s="2"/>
      <c r="D1078" s="2"/>
      <c r="E1078" s="2"/>
      <c r="F1078" s="2"/>
      <c r="G1078" s="2"/>
      <c r="H1078" s="2"/>
      <c r="I1078" s="94"/>
    </row>
    <row r="1079" spans="1:9">
      <c r="A1079" s="93"/>
      <c r="B1079" s="2"/>
      <c r="C1079" s="2"/>
      <c r="D1079" s="2"/>
      <c r="E1079" s="2"/>
      <c r="F1079" s="2"/>
      <c r="G1079" s="2"/>
      <c r="H1079" s="2"/>
      <c r="I1079" s="94"/>
    </row>
    <row r="1080" spans="1:9">
      <c r="A1080" s="93"/>
      <c r="B1080" s="2"/>
      <c r="C1080" s="2"/>
      <c r="D1080" s="2"/>
      <c r="E1080" s="2"/>
      <c r="F1080" s="2"/>
      <c r="G1080" s="2"/>
      <c r="H1080" s="2"/>
      <c r="I1080" s="94"/>
    </row>
    <row r="1081" spans="1:9">
      <c r="A1081" s="93"/>
      <c r="B1081" s="2"/>
      <c r="C1081" s="2"/>
      <c r="D1081" s="2"/>
      <c r="E1081" s="2"/>
      <c r="F1081" s="2"/>
      <c r="G1081" s="2"/>
      <c r="H1081" s="2"/>
      <c r="I1081" s="94"/>
    </row>
    <row r="1082" spans="1:9">
      <c r="A1082" s="93"/>
      <c r="B1082" s="2"/>
      <c r="C1082" s="2"/>
      <c r="D1082" s="2"/>
      <c r="E1082" s="2"/>
      <c r="F1082" s="2"/>
      <c r="G1082" s="2"/>
      <c r="H1082" s="2"/>
      <c r="I1082" s="94"/>
    </row>
    <row r="1083" spans="1:9">
      <c r="A1083" s="93"/>
      <c r="B1083" s="2"/>
      <c r="C1083" s="2"/>
      <c r="D1083" s="2"/>
      <c r="E1083" s="2"/>
      <c r="F1083" s="2"/>
      <c r="G1083" s="2"/>
      <c r="H1083" s="2"/>
      <c r="I1083" s="94"/>
    </row>
    <row r="1084" spans="1:9">
      <c r="A1084" s="93"/>
      <c r="B1084" s="2"/>
      <c r="C1084" s="2"/>
      <c r="D1084" s="2"/>
      <c r="E1084" s="2"/>
      <c r="F1084" s="2"/>
      <c r="G1084" s="2"/>
      <c r="H1084" s="2"/>
      <c r="I1084" s="94"/>
    </row>
    <row r="1085" spans="1:9">
      <c r="A1085" s="93"/>
      <c r="B1085" s="2"/>
      <c r="C1085" s="2"/>
      <c r="D1085" s="2"/>
      <c r="E1085" s="2"/>
      <c r="F1085" s="2"/>
      <c r="G1085" s="2"/>
      <c r="H1085" s="2"/>
      <c r="I1085" s="94"/>
    </row>
    <row r="1086" spans="1:9">
      <c r="A1086" s="93"/>
      <c r="B1086" s="2"/>
      <c r="C1086" s="2"/>
      <c r="D1086" s="2"/>
      <c r="E1086" s="2"/>
      <c r="F1086" s="2"/>
      <c r="G1086" s="2"/>
      <c r="H1086" s="2"/>
      <c r="I1086" s="94"/>
    </row>
    <row r="1087" spans="1:9">
      <c r="A1087" s="93"/>
      <c r="B1087" s="2"/>
      <c r="C1087" s="2"/>
      <c r="D1087" s="2"/>
      <c r="E1087" s="2"/>
      <c r="F1087" s="2"/>
      <c r="G1087" s="2"/>
      <c r="H1087" s="2"/>
      <c r="I1087" s="94"/>
    </row>
    <row r="1088" spans="1:9">
      <c r="A1088" s="93"/>
      <c r="B1088" s="2"/>
      <c r="C1088" s="2"/>
      <c r="D1088" s="2"/>
      <c r="E1088" s="2"/>
      <c r="F1088" s="2"/>
      <c r="G1088" s="2"/>
      <c r="H1088" s="2"/>
      <c r="I1088" s="94"/>
    </row>
    <row r="1089" spans="1:9">
      <c r="A1089" s="93"/>
      <c r="B1089" s="2"/>
      <c r="C1089" s="2"/>
      <c r="D1089" s="2"/>
      <c r="E1089" s="2"/>
      <c r="F1089" s="2"/>
      <c r="G1089" s="2"/>
      <c r="H1089" s="2"/>
      <c r="I1089" s="94"/>
    </row>
    <row r="1090" spans="1:9">
      <c r="A1090" s="93"/>
      <c r="B1090" s="2"/>
      <c r="C1090" s="2"/>
      <c r="D1090" s="2"/>
      <c r="E1090" s="2"/>
      <c r="F1090" s="2"/>
      <c r="G1090" s="2"/>
      <c r="H1090" s="2"/>
      <c r="I1090" s="94"/>
    </row>
    <row r="1091" spans="1:9">
      <c r="A1091" s="93"/>
      <c r="B1091" s="2"/>
      <c r="C1091" s="2"/>
      <c r="D1091" s="2"/>
      <c r="E1091" s="2"/>
      <c r="F1091" s="2"/>
      <c r="G1091" s="2"/>
      <c r="H1091" s="2"/>
      <c r="I1091" s="94"/>
    </row>
    <row r="1092" spans="1:9">
      <c r="A1092" s="93"/>
      <c r="B1092" s="2"/>
      <c r="C1092" s="2"/>
      <c r="D1092" s="2"/>
      <c r="E1092" s="2"/>
      <c r="F1092" s="2"/>
      <c r="G1092" s="2"/>
      <c r="H1092" s="2"/>
      <c r="I1092" s="94"/>
    </row>
    <row r="1093" spans="1:9">
      <c r="A1093" s="93"/>
      <c r="B1093" s="2"/>
      <c r="C1093" s="2"/>
      <c r="D1093" s="2"/>
      <c r="E1093" s="2"/>
      <c r="F1093" s="2"/>
      <c r="G1093" s="2"/>
      <c r="H1093" s="2"/>
      <c r="I1093" s="94"/>
    </row>
    <row r="1094" spans="1:9">
      <c r="A1094" s="93"/>
      <c r="B1094" s="2"/>
      <c r="C1094" s="2"/>
      <c r="D1094" s="2"/>
      <c r="E1094" s="2"/>
      <c r="F1094" s="2"/>
      <c r="G1094" s="2"/>
      <c r="H1094" s="2"/>
      <c r="I1094" s="94"/>
    </row>
    <row r="1095" spans="1:9">
      <c r="A1095" s="93"/>
      <c r="B1095" s="2"/>
      <c r="C1095" s="2"/>
      <c r="D1095" s="2"/>
      <c r="E1095" s="2"/>
      <c r="F1095" s="2"/>
      <c r="G1095" s="2"/>
      <c r="H1095" s="2"/>
      <c r="I1095" s="94"/>
    </row>
    <row r="1096" spans="1:9">
      <c r="A1096" s="93"/>
      <c r="B1096" s="2"/>
      <c r="C1096" s="2"/>
      <c r="D1096" s="2"/>
      <c r="E1096" s="2"/>
      <c r="F1096" s="2"/>
      <c r="G1096" s="2"/>
      <c r="H1096" s="2"/>
      <c r="I1096" s="94"/>
    </row>
    <row r="1097" spans="1:9">
      <c r="A1097" s="93"/>
      <c r="B1097" s="2"/>
      <c r="C1097" s="2"/>
      <c r="D1097" s="2"/>
      <c r="E1097" s="2"/>
      <c r="F1097" s="2"/>
      <c r="G1097" s="2"/>
      <c r="H1097" s="2"/>
      <c r="I1097" s="94"/>
    </row>
    <row r="1098" spans="1:9">
      <c r="A1098" s="93"/>
      <c r="B1098" s="2"/>
      <c r="C1098" s="2"/>
      <c r="D1098" s="2"/>
      <c r="E1098" s="2"/>
      <c r="F1098" s="2"/>
      <c r="G1098" s="2"/>
      <c r="H1098" s="2"/>
      <c r="I1098" s="94"/>
    </row>
    <row r="1099" spans="1:9">
      <c r="A1099" s="93"/>
      <c r="B1099" s="2"/>
      <c r="C1099" s="2"/>
      <c r="D1099" s="2"/>
      <c r="E1099" s="2"/>
      <c r="F1099" s="2"/>
      <c r="G1099" s="2"/>
      <c r="H1099" s="2"/>
      <c r="I1099" s="94"/>
    </row>
    <row r="1100" spans="1:9">
      <c r="A1100" s="93"/>
      <c r="B1100" s="2"/>
      <c r="C1100" s="2"/>
      <c r="D1100" s="2"/>
      <c r="E1100" s="2"/>
      <c r="F1100" s="2"/>
      <c r="G1100" s="2"/>
      <c r="H1100" s="2"/>
      <c r="I1100" s="94"/>
    </row>
    <row r="1101" spans="1:9">
      <c r="A1101" s="93"/>
      <c r="B1101" s="2"/>
      <c r="C1101" s="2"/>
      <c r="D1101" s="2"/>
      <c r="E1101" s="2"/>
      <c r="F1101" s="2"/>
      <c r="G1101" s="2"/>
      <c r="H1101" s="2"/>
      <c r="I1101" s="94"/>
    </row>
    <row r="1102" spans="1:9">
      <c r="A1102" s="93"/>
      <c r="B1102" s="2"/>
      <c r="C1102" s="2"/>
      <c r="D1102" s="2"/>
      <c r="E1102" s="2"/>
      <c r="F1102" s="2"/>
      <c r="G1102" s="2"/>
      <c r="H1102" s="2"/>
      <c r="I1102" s="94"/>
    </row>
    <row r="1103" spans="1:9">
      <c r="A1103" s="93"/>
      <c r="B1103" s="2"/>
      <c r="C1103" s="2"/>
      <c r="D1103" s="2"/>
      <c r="E1103" s="2"/>
      <c r="F1103" s="2"/>
      <c r="G1103" s="2"/>
      <c r="H1103" s="2"/>
      <c r="I1103" s="94"/>
    </row>
    <row r="1104" spans="1:9">
      <c r="A1104" s="93"/>
      <c r="B1104" s="2"/>
      <c r="C1104" s="2"/>
      <c r="D1104" s="2"/>
      <c r="E1104" s="2"/>
      <c r="F1104" s="2"/>
      <c r="G1104" s="2"/>
      <c r="H1104" s="2"/>
      <c r="I1104" s="94"/>
    </row>
    <row r="1105" spans="1:9">
      <c r="A1105" s="93"/>
      <c r="B1105" s="2"/>
      <c r="C1105" s="2"/>
      <c r="D1105" s="2"/>
      <c r="E1105" s="2"/>
      <c r="F1105" s="2"/>
      <c r="G1105" s="2"/>
      <c r="H1105" s="2"/>
      <c r="I1105" s="94"/>
    </row>
    <row r="1106" spans="1:9">
      <c r="A1106" s="93"/>
      <c r="B1106" s="2"/>
      <c r="C1106" s="2"/>
      <c r="D1106" s="2"/>
      <c r="E1106" s="2"/>
      <c r="F1106" s="2"/>
      <c r="G1106" s="2"/>
      <c r="H1106" s="2"/>
      <c r="I1106" s="94"/>
    </row>
    <row r="1107" spans="1:9">
      <c r="A1107" s="93"/>
      <c r="B1107" s="2"/>
      <c r="C1107" s="2"/>
      <c r="D1107" s="2"/>
      <c r="E1107" s="2"/>
      <c r="F1107" s="2"/>
      <c r="G1107" s="2"/>
      <c r="H1107" s="2"/>
      <c r="I1107" s="94"/>
    </row>
    <row r="1108" spans="1:9">
      <c r="A1108" s="93"/>
      <c r="B1108" s="2"/>
      <c r="C1108" s="2"/>
      <c r="D1108" s="2"/>
      <c r="E1108" s="2"/>
      <c r="F1108" s="2"/>
      <c r="G1108" s="2"/>
      <c r="H1108" s="2"/>
      <c r="I1108" s="94"/>
    </row>
    <row r="1109" spans="1:9">
      <c r="A1109" s="93"/>
      <c r="B1109" s="2"/>
      <c r="C1109" s="2"/>
      <c r="D1109" s="2"/>
      <c r="E1109" s="2"/>
      <c r="F1109" s="2"/>
      <c r="G1109" s="2"/>
      <c r="H1109" s="2"/>
      <c r="I1109" s="94"/>
    </row>
    <row r="1110" spans="1:9">
      <c r="A1110" s="93"/>
      <c r="B1110" s="2"/>
      <c r="C1110" s="2"/>
      <c r="D1110" s="2"/>
      <c r="E1110" s="2"/>
      <c r="F1110" s="2"/>
      <c r="G1110" s="2"/>
      <c r="H1110" s="2"/>
      <c r="I1110" s="94"/>
    </row>
    <row r="1111" spans="1:9">
      <c r="A1111" s="93"/>
      <c r="B1111" s="2"/>
      <c r="C1111" s="2"/>
      <c r="D1111" s="2"/>
      <c r="E1111" s="2"/>
      <c r="F1111" s="2"/>
      <c r="G1111" s="2"/>
      <c r="H1111" s="2"/>
      <c r="I1111" s="94"/>
    </row>
  </sheetData>
  <mergeCells count="14">
    <mergeCell ref="I2:L2"/>
    <mergeCell ref="E2:H2"/>
    <mergeCell ref="A2:D2"/>
    <mergeCell ref="I1:L1"/>
    <mergeCell ref="E1:H1"/>
    <mergeCell ref="A1:D1"/>
    <mergeCell ref="M1:P1"/>
    <mergeCell ref="U1:X1"/>
    <mergeCell ref="U2:X2"/>
    <mergeCell ref="Y2:AB2"/>
    <mergeCell ref="Y1:AB1"/>
    <mergeCell ref="Q1:T1"/>
    <mergeCell ref="Q2:T2"/>
    <mergeCell ref="M2:P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R999"/>
  <sheetViews>
    <sheetView workbookViewId="0"/>
  </sheetViews>
  <sheetFormatPr defaultColWidth="14.42578125" defaultRowHeight="15.75" customHeight="1"/>
  <sheetData>
    <row r="1" spans="1:18">
      <c r="A1" s="39" t="s">
        <v>43</v>
      </c>
      <c r="B1" s="39"/>
      <c r="C1" s="39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5.75" customHeight="1">
      <c r="A2" s="42" t="str">
        <f ca="1">IFERROR(__xludf.DUMMYFUNCTION("IMPORTRANGE(""https://docs.google.com/spreadsheets/d/17S-FkqT0SEaJMSK0HJUOpBtq0CpGeHkdzn_tzPArCbo/edit#gid=0"", ""A1005:I1025"")"),"NAME")</f>
        <v>NAME</v>
      </c>
      <c r="B2" s="42" t="str">
        <f ca="1">IFERROR(__xludf.DUMMYFUNCTION("""COMPUTED_VALUE"""),"OTH")</f>
        <v>OTH</v>
      </c>
      <c r="C2" s="42" t="str">
        <f ca="1">IFERROR(__xludf.DUMMYFUNCTION("""COMPUTED_VALUE"""),"BTH")</f>
        <v>BTH</v>
      </c>
      <c r="D2" s="42" t="str">
        <f ca="1">IFERROR(__xludf.DUMMYFUNCTION("""COMPUTED_VALUE"""),"TP")</f>
        <v>TP</v>
      </c>
      <c r="E2" s="42" t="str">
        <f ca="1">IFERROR(__xludf.DUMMYFUNCTION("""COMPUTED_VALUE"""),"ATH")</f>
        <v>ATH</v>
      </c>
      <c r="F2" s="42" t="str">
        <f ca="1">IFERROR(__xludf.DUMMYFUNCTION("""COMPUTED_VALUE"""),"ATP")</f>
        <v>ATP</v>
      </c>
      <c r="G2" s="42" t="str">
        <f ca="1">IFERROR(__xludf.DUMMYFUNCTION("""COMPUTED_VALUE"""),"WZL")</f>
        <v>WZL</v>
      </c>
      <c r="H2" s="42" t="str">
        <f ca="1">IFERROR(__xludf.DUMMYFUNCTION("""COMPUTED_VALUE"""),"WZP")</f>
        <v>WZP</v>
      </c>
      <c r="I2" s="42" t="str">
        <f ca="1">IFERROR(__xludf.DUMMYFUNCTION("""COMPUTED_VALUE"""),"POINTS")</f>
        <v>POINTS</v>
      </c>
      <c r="O2" s="42" t="str">
        <f ca="1">IFERROR(__xludf.DUMMYFUNCTION("IMPORTRANGE(""https://docs.google.com/spreadsheets/d/17S-FkqT0SEaJMSK0HJUOpBtq0CpGeHkdzn_tzPArCbo/edit#gid=0"", ""A949:C973"")"),"Statistics of the week")</f>
        <v>Statistics of the week</v>
      </c>
      <c r="P2" t="str">
        <f ca="1">IFERROR(__xludf.DUMMYFUNCTION("""COMPUTED_VALUE"""),"")</f>
        <v/>
      </c>
      <c r="Q2" t="str">
        <f ca="1">IFERROR(__xludf.DUMMYFUNCTION("""COMPUTED_VALUE"""),"")</f>
        <v/>
      </c>
    </row>
    <row r="3" spans="1:18" ht="15.75" customHeight="1">
      <c r="A3" s="43" t="str">
        <f ca="1">IFERROR(__xludf.DUMMYFUNCTION("""COMPUTED_VALUE"""),"RCT-Skuller")</f>
        <v>RCT-Skuller</v>
      </c>
      <c r="B3" s="43" t="str">
        <f ca="1">IFERROR(__xludf.DUMMYFUNCTION("""COMPUTED_VALUE"""),"")</f>
        <v/>
      </c>
      <c r="C3" s="43" t="str">
        <f ca="1">IFERROR(__xludf.DUMMYFUNCTION("""COMPUTED_VALUE"""),"")</f>
        <v/>
      </c>
      <c r="D3" s="43" t="str">
        <f ca="1">IFERROR(__xludf.DUMMYFUNCTION("""COMPUTED_VALUE"""),"")</f>
        <v/>
      </c>
      <c r="E3" s="43" t="str">
        <f ca="1">IFERROR(__xludf.DUMMYFUNCTION("""COMPUTED_VALUE"""),"")</f>
        <v/>
      </c>
      <c r="F3" s="43" t="str">
        <f ca="1">IFERROR(__xludf.DUMMYFUNCTION("""COMPUTED_VALUE"""),"")</f>
        <v/>
      </c>
      <c r="G3" s="43" t="str">
        <f ca="1">IFERROR(__xludf.DUMMYFUNCTION("""COMPUTED_VALUE"""),"")</f>
        <v/>
      </c>
      <c r="H3" s="43" t="str">
        <f ca="1">IFERROR(__xludf.DUMMYFUNCTION("""COMPUTED_VALUE"""),"")</f>
        <v/>
      </c>
      <c r="I3" s="44">
        <f ca="1">IFERROR(__xludf.DUMMYFUNCTION("""COMPUTED_VALUE"""),0)</f>
        <v>0</v>
      </c>
      <c r="O3" t="str">
        <f ca="1">IFERROR(__xludf.DUMMYFUNCTION("""COMPUTED_VALUE"""),"Average points")</f>
        <v>Average points</v>
      </c>
      <c r="P3" s="42">
        <f ca="1">IFERROR(__xludf.DUMMYFUNCTION("""COMPUTED_VALUE"""),11.0588235294117)</f>
        <v>11.058823529411701</v>
      </c>
      <c r="Q3" t="str">
        <f ca="1">IFERROR(__xludf.DUMMYFUNCTION("""COMPUTED_VALUE"""),"")</f>
        <v/>
      </c>
    </row>
    <row r="4" spans="1:18">
      <c r="A4" s="45" t="str">
        <f ca="1">IFERROR(__xludf.DUMMYFUNCTION("""COMPUTED_VALUE"""),"PFC-Arqueiro")</f>
        <v>PFC-Arqueiro</v>
      </c>
      <c r="B4" s="45">
        <f ca="1">IFERROR(__xludf.DUMMYFUNCTION("""COMPUTED_VALUE"""),0)</f>
        <v>0</v>
      </c>
      <c r="C4" s="45">
        <f ca="1">IFERROR(__xludf.DUMMYFUNCTION("""COMPUTED_VALUE"""),1)</f>
        <v>1</v>
      </c>
      <c r="D4" s="45">
        <f ca="1">IFERROR(__xludf.DUMMYFUNCTION("""COMPUTED_VALUE"""),1)</f>
        <v>1</v>
      </c>
      <c r="E4" s="45">
        <f ca="1">IFERROR(__xludf.DUMMYFUNCTION("""COMPUTED_VALUE"""),4)</f>
        <v>4</v>
      </c>
      <c r="F4" s="45">
        <f ca="1">IFERROR(__xludf.DUMMYFUNCTION("""COMPUTED_VALUE"""),1)</f>
        <v>1</v>
      </c>
      <c r="G4" s="45">
        <f ca="1">IFERROR(__xludf.DUMMYFUNCTION("""COMPUTED_VALUE"""),0)</f>
        <v>0</v>
      </c>
      <c r="H4" s="45">
        <f ca="1">IFERROR(__xludf.DUMMYFUNCTION("""COMPUTED_VALUE"""),2)</f>
        <v>2</v>
      </c>
      <c r="I4" s="46">
        <f ca="1">IFERROR(__xludf.DUMMYFUNCTION("""COMPUTED_VALUE"""),14)</f>
        <v>14</v>
      </c>
      <c r="O4" t="str">
        <f ca="1">IFERROR(__xludf.DUMMYFUNCTION("""COMPUTED_VALUE"""),"Most points")</f>
        <v>Most points</v>
      </c>
      <c r="P4">
        <f ca="1">IFERROR(__xludf.DUMMYFUNCTION("""COMPUTED_VALUE"""),34)</f>
        <v>34</v>
      </c>
      <c r="Q4" s="42" t="str">
        <f ca="1">IFERROR(__xludf.DUMMYFUNCTION("""COMPUTED_VALUE"""),"PFC-Mthn06")</f>
        <v>PFC-Mthn06</v>
      </c>
    </row>
    <row r="5" spans="1:18">
      <c r="A5" s="45" t="str">
        <f ca="1">IFERROR(__xludf.DUMMYFUNCTION("""COMPUTED_VALUE"""),"SPC-Alemi")</f>
        <v>SPC-Alemi</v>
      </c>
      <c r="B5" s="45">
        <f ca="1">IFERROR(__xludf.DUMMYFUNCTION("""COMPUTED_VALUE"""),0)</f>
        <v>0</v>
      </c>
      <c r="C5" s="45">
        <f ca="1">IFERROR(__xludf.DUMMYFUNCTION("""COMPUTED_VALUE"""),0)</f>
        <v>0</v>
      </c>
      <c r="D5" s="45">
        <f ca="1">IFERROR(__xludf.DUMMYFUNCTION("""COMPUTED_VALUE"""),1)</f>
        <v>1</v>
      </c>
      <c r="E5" s="45">
        <f ca="1">IFERROR(__xludf.DUMMYFUNCTION("""COMPUTED_VALUE"""),2)</f>
        <v>2</v>
      </c>
      <c r="F5" s="45">
        <f ca="1">IFERROR(__xludf.DUMMYFUNCTION("""COMPUTED_VALUE"""),0)</f>
        <v>0</v>
      </c>
      <c r="G5" s="45">
        <f ca="1">IFERROR(__xludf.DUMMYFUNCTION("""COMPUTED_VALUE"""),0)</f>
        <v>0</v>
      </c>
      <c r="H5" s="45">
        <f ca="1">IFERROR(__xludf.DUMMYFUNCTION("""COMPUTED_VALUE"""),0)</f>
        <v>0</v>
      </c>
      <c r="I5" s="46">
        <f ca="1">IFERROR(__xludf.DUMMYFUNCTION("""COMPUTED_VALUE"""),4)</f>
        <v>4</v>
      </c>
      <c r="O5" t="str">
        <f ca="1">IFERROR(__xludf.DUMMYFUNCTION("""COMPUTED_VALUE"""),"Total points")</f>
        <v>Total points</v>
      </c>
      <c r="P5">
        <f ca="1">IFERROR(__xludf.DUMMYFUNCTION("""COMPUTED_VALUE"""),201)</f>
        <v>201</v>
      </c>
      <c r="Q5" t="str">
        <f ca="1">IFERROR(__xludf.DUMMYFUNCTION("""COMPUTED_VALUE"""),"")</f>
        <v/>
      </c>
    </row>
    <row r="6" spans="1:18">
      <c r="A6" s="45" t="str">
        <f ca="1">IFERROR(__xludf.DUMMYFUNCTION("""COMPUTED_VALUE"""),"CPL-Kyro")</f>
        <v>CPL-Kyro</v>
      </c>
      <c r="B6" s="45" t="str">
        <f ca="1">IFERROR(__xludf.DUMMYFUNCTION("""COMPUTED_VALUE"""),"")</f>
        <v/>
      </c>
      <c r="C6" s="45" t="str">
        <f ca="1">IFERROR(__xludf.DUMMYFUNCTION("""COMPUTED_VALUE"""),"")</f>
        <v/>
      </c>
      <c r="D6" s="45" t="str">
        <f ca="1">IFERROR(__xludf.DUMMYFUNCTION("""COMPUTED_VALUE"""),"")</f>
        <v/>
      </c>
      <c r="E6" s="45" t="str">
        <f ca="1">IFERROR(__xludf.DUMMYFUNCTION("""COMPUTED_VALUE"""),"")</f>
        <v/>
      </c>
      <c r="F6" s="45" t="str">
        <f ca="1">IFERROR(__xludf.DUMMYFUNCTION("""COMPUTED_VALUE"""),"")</f>
        <v/>
      </c>
      <c r="G6" s="45" t="str">
        <f ca="1">IFERROR(__xludf.DUMMYFUNCTION("""COMPUTED_VALUE"""),"")</f>
        <v/>
      </c>
      <c r="H6" s="45" t="str">
        <f ca="1">IFERROR(__xludf.DUMMYFUNCTION("""COMPUTED_VALUE"""),"")</f>
        <v/>
      </c>
      <c r="I6" s="46">
        <f ca="1">IFERROR(__xludf.DUMMYFUNCTION("""COMPUTED_VALUE"""),0)</f>
        <v>0</v>
      </c>
      <c r="O6" t="str">
        <f ca="1">IFERROR(__xludf.DUMMYFUNCTION("""COMPUTED_VALUE"""),"No-lifers")</f>
        <v>No-lifers</v>
      </c>
      <c r="P6">
        <f ca="1">IFERROR(__xludf.DUMMYFUNCTION("""COMPUTED_VALUE"""),6)</f>
        <v>6</v>
      </c>
      <c r="Q6" t="str">
        <f ca="1">IFERROR(__xludf.DUMMYFUNCTION("""COMPUTED_VALUE"""),"")</f>
        <v/>
      </c>
    </row>
    <row r="7" spans="1:18">
      <c r="A7" s="45" t="str">
        <f ca="1">IFERROR(__xludf.DUMMYFUNCTION("""COMPUTED_VALUE"""),"CPL-Jutsku")</f>
        <v>CPL-Jutsku</v>
      </c>
      <c r="B7" s="45">
        <f ca="1">IFERROR(__xludf.DUMMYFUNCTION("""COMPUTED_VALUE"""),2)</f>
        <v>2</v>
      </c>
      <c r="C7" s="45">
        <f ca="1">IFERROR(__xludf.DUMMYFUNCTION("""COMPUTED_VALUE"""),0)</f>
        <v>0</v>
      </c>
      <c r="D7" s="45">
        <f ca="1">IFERROR(__xludf.DUMMYFUNCTION("""COMPUTED_VALUE"""),3)</f>
        <v>3</v>
      </c>
      <c r="E7" s="45">
        <f ca="1">IFERROR(__xludf.DUMMYFUNCTION("""COMPUTED_VALUE"""),3)</f>
        <v>3</v>
      </c>
      <c r="F7" s="45">
        <f ca="1">IFERROR(__xludf.DUMMYFUNCTION("""COMPUTED_VALUE"""),9)</f>
        <v>9</v>
      </c>
      <c r="G7" s="45">
        <f ca="1">IFERROR(__xludf.DUMMYFUNCTION("""COMPUTED_VALUE"""),0)</f>
        <v>0</v>
      </c>
      <c r="H7" s="45">
        <f ca="1">IFERROR(__xludf.DUMMYFUNCTION("""COMPUTED_VALUE"""),2)</f>
        <v>2</v>
      </c>
      <c r="I7" s="46">
        <f ca="1">IFERROR(__xludf.DUMMYFUNCTION("""COMPUTED_VALUE"""),28.5)</f>
        <v>28.5</v>
      </c>
      <c r="O7" t="str">
        <f ca="1">IFERROR(__xludf.DUMMYFUNCTION("""COMPUTED_VALUE"""),"Active")</f>
        <v>Active</v>
      </c>
      <c r="P7">
        <f ca="1">IFERROR(__xludf.DUMMYFUNCTION("""COMPUTED_VALUE"""),3)</f>
        <v>3</v>
      </c>
      <c r="Q7" t="str">
        <f ca="1">IFERROR(__xludf.DUMMYFUNCTION("""COMPUTED_VALUE"""),"")</f>
        <v/>
      </c>
    </row>
    <row r="8" spans="1:18" ht="15.75" customHeight="1">
      <c r="A8" s="43" t="str">
        <f ca="1">IFERROR(__xludf.DUMMYFUNCTION("""COMPUTED_VALUE"""),"BCS-Roxorium")</f>
        <v>BCS-Roxorium</v>
      </c>
      <c r="B8" s="43" t="str">
        <f ca="1">IFERROR(__xludf.DUMMYFUNCTION("""COMPUTED_VALUE"""),"")</f>
        <v/>
      </c>
      <c r="C8" s="43" t="str">
        <f ca="1">IFERROR(__xludf.DUMMYFUNCTION("""COMPUTED_VALUE"""),"")</f>
        <v/>
      </c>
      <c r="D8" s="43" t="str">
        <f ca="1">IFERROR(__xludf.DUMMYFUNCTION("""COMPUTED_VALUE"""),"")</f>
        <v/>
      </c>
      <c r="E8" s="43" t="str">
        <f ca="1">IFERROR(__xludf.DUMMYFUNCTION("""COMPUTED_VALUE"""),"")</f>
        <v/>
      </c>
      <c r="F8" s="43" t="str">
        <f ca="1">IFERROR(__xludf.DUMMYFUNCTION("""COMPUTED_VALUE"""),"")</f>
        <v/>
      </c>
      <c r="G8" s="43" t="str">
        <f ca="1">IFERROR(__xludf.DUMMYFUNCTION("""COMPUTED_VALUE"""),"")</f>
        <v/>
      </c>
      <c r="H8" s="43" t="str">
        <f ca="1">IFERROR(__xludf.DUMMYFUNCTION("""COMPUTED_VALUE"""),"")</f>
        <v/>
      </c>
      <c r="I8" s="44">
        <f ca="1">IFERROR(__xludf.DUMMYFUNCTION("""COMPUTED_VALUE"""),0)</f>
        <v>0</v>
      </c>
      <c r="O8" t="str">
        <f ca="1">IFERROR(__xludf.DUMMYFUNCTION("""COMPUTED_VALUE"""),"Semi-Active")</f>
        <v>Semi-Active</v>
      </c>
      <c r="P8">
        <f ca="1">IFERROR(__xludf.DUMMYFUNCTION("""COMPUTED_VALUE"""),2)</f>
        <v>2</v>
      </c>
      <c r="Q8" t="str">
        <f ca="1">IFERROR(__xludf.DUMMYFUNCTION("""COMPUTED_VALUE"""),"")</f>
        <v/>
      </c>
    </row>
    <row r="9" spans="1:18" ht="15.75" customHeight="1">
      <c r="A9" s="43" t="str">
        <f ca="1">IFERROR(__xludf.DUMMYFUNCTION("""COMPUTED_VALUE"""),"RCT-Fast")</f>
        <v>RCT-Fast</v>
      </c>
      <c r="B9" s="43">
        <f ca="1">IFERROR(__xludf.DUMMYFUNCTION("""COMPUTED_VALUE"""),1)</f>
        <v>1</v>
      </c>
      <c r="C9" s="43">
        <f ca="1">IFERROR(__xludf.DUMMYFUNCTION("""COMPUTED_VALUE"""),2)</f>
        <v>2</v>
      </c>
      <c r="D9" s="43">
        <f ca="1">IFERROR(__xludf.DUMMYFUNCTION("""COMPUTED_VALUE"""),1)</f>
        <v>1</v>
      </c>
      <c r="E9" s="43">
        <f ca="1">IFERROR(__xludf.DUMMYFUNCTION("""COMPUTED_VALUE"""),0)</f>
        <v>0</v>
      </c>
      <c r="F9" s="43">
        <f ca="1">IFERROR(__xludf.DUMMYFUNCTION("""COMPUTED_VALUE"""),5)</f>
        <v>5</v>
      </c>
      <c r="G9" s="43">
        <f ca="1">IFERROR(__xludf.DUMMYFUNCTION("""COMPUTED_VALUE"""),0)</f>
        <v>0</v>
      </c>
      <c r="H9" s="43">
        <f ca="1">IFERROR(__xludf.DUMMYFUNCTION("""COMPUTED_VALUE"""),2)</f>
        <v>2</v>
      </c>
      <c r="I9" s="44">
        <f ca="1">IFERROR(__xludf.DUMMYFUNCTION("""COMPUTED_VALUE"""),18)</f>
        <v>18</v>
      </c>
      <c r="O9" t="str">
        <f ca="1">IFERROR(__xludf.DUMMYFUNCTION("""COMPUTED_VALUE"""),"Inactive")</f>
        <v>Inactive</v>
      </c>
      <c r="P9">
        <f ca="1">IFERROR(__xludf.DUMMYFUNCTION("""COMPUTED_VALUE"""),2)</f>
        <v>2</v>
      </c>
      <c r="Q9" t="str">
        <f ca="1">IFERROR(__xludf.DUMMYFUNCTION("""COMPUTED_VALUE"""),"")</f>
        <v/>
      </c>
    </row>
    <row r="10" spans="1:18">
      <c r="A10" s="45" t="str">
        <f ca="1">IFERROR(__xludf.DUMMYFUNCTION("""COMPUTED_VALUE"""),"RCT-Flume")</f>
        <v>RCT-Flume</v>
      </c>
      <c r="B10" s="45">
        <f ca="1">IFERROR(__xludf.DUMMYFUNCTION("""COMPUTED_VALUE"""),0)</f>
        <v>0</v>
      </c>
      <c r="C10" s="45">
        <f ca="1">IFERROR(__xludf.DUMMYFUNCTION("""COMPUTED_VALUE"""),0)</f>
        <v>0</v>
      </c>
      <c r="D10" s="45">
        <f ca="1">IFERROR(__xludf.DUMMYFUNCTION("""COMPUTED_VALUE"""),4)</f>
        <v>4</v>
      </c>
      <c r="E10" s="45">
        <f ca="1">IFERROR(__xludf.DUMMYFUNCTION("""COMPUTED_VALUE"""),0)</f>
        <v>0</v>
      </c>
      <c r="F10" s="45">
        <f ca="1">IFERROR(__xludf.DUMMYFUNCTION("""COMPUTED_VALUE"""),9)</f>
        <v>9</v>
      </c>
      <c r="G10" s="45">
        <f ca="1">IFERROR(__xludf.DUMMYFUNCTION("""COMPUTED_VALUE"""),2)</f>
        <v>2</v>
      </c>
      <c r="H10" s="45">
        <f ca="1">IFERROR(__xludf.DUMMYFUNCTION("""COMPUTED_VALUE"""),1)</f>
        <v>1</v>
      </c>
      <c r="I10" s="46">
        <f ca="1">IFERROR(__xludf.DUMMYFUNCTION("""COMPUTED_VALUE"""),23)</f>
        <v>23</v>
      </c>
      <c r="O10" t="str">
        <f ca="1">IFERROR(__xludf.DUMMYFUNCTION("""COMPUTED_VALUE"""),"LOA")</f>
        <v>LOA</v>
      </c>
      <c r="P10">
        <f ca="1">IFERROR(__xludf.DUMMYFUNCTION("""COMPUTED_VALUE"""),0)</f>
        <v>0</v>
      </c>
      <c r="Q10" t="str">
        <f ca="1">IFERROR(__xludf.DUMMYFUNCTION("""COMPUTED_VALUE"""),"")</f>
        <v/>
      </c>
    </row>
    <row r="11" spans="1:18">
      <c r="A11" s="45" t="str">
        <f ca="1">IFERROR(__xludf.DUMMYFUNCTION("""COMPUTED_VALUE"""),"RCT-Filip")</f>
        <v>RCT-Filip</v>
      </c>
      <c r="B11" s="45">
        <f ca="1">IFERROR(__xludf.DUMMYFUNCTION("""COMPUTED_VALUE"""),0)</f>
        <v>0</v>
      </c>
      <c r="C11" s="45">
        <f ca="1">IFERROR(__xludf.DUMMYFUNCTION("""COMPUTED_VALUE"""),0)</f>
        <v>0</v>
      </c>
      <c r="D11" s="45">
        <f ca="1">IFERROR(__xludf.DUMMYFUNCTION("""COMPUTED_VALUE"""),2)</f>
        <v>2</v>
      </c>
      <c r="E11" s="45">
        <f ca="1">IFERROR(__xludf.DUMMYFUNCTION("""COMPUTED_VALUE"""),0)</f>
        <v>0</v>
      </c>
      <c r="F11" s="45">
        <f ca="1">IFERROR(__xludf.DUMMYFUNCTION("""COMPUTED_VALUE"""),3)</f>
        <v>3</v>
      </c>
      <c r="G11" s="45">
        <f ca="1">IFERROR(__xludf.DUMMYFUNCTION("""COMPUTED_VALUE"""),0)</f>
        <v>0</v>
      </c>
      <c r="H11" s="45">
        <f ca="1">IFERROR(__xludf.DUMMYFUNCTION("""COMPUTED_VALUE"""),4)</f>
        <v>4</v>
      </c>
      <c r="I11" s="46">
        <f ca="1">IFERROR(__xludf.DUMMYFUNCTION("""COMPUTED_VALUE"""),13)</f>
        <v>13</v>
      </c>
      <c r="O11" t="str">
        <f ca="1">IFERROR(__xludf.DUMMYFUNCTION("""COMPUTED_VALUE"""),"Undefined")</f>
        <v>Undefined</v>
      </c>
      <c r="P11">
        <f ca="1">IFERROR(__xludf.DUMMYFUNCTION("""COMPUTED_VALUE"""),7)</f>
        <v>7</v>
      </c>
      <c r="Q11" t="str">
        <f ca="1">IFERROR(__xludf.DUMMYFUNCTION("""COMPUTED_VALUE"""),"")</f>
        <v/>
      </c>
    </row>
    <row r="12" spans="1:18">
      <c r="A12" s="45" t="str">
        <f ca="1">IFERROR(__xludf.DUMMYFUNCTION("""COMPUTED_VALUE"""),"SPC-Titan")</f>
        <v>SPC-Titan</v>
      </c>
      <c r="B12" s="45">
        <f ca="1">IFERROR(__xludf.DUMMYFUNCTION("""COMPUTED_VALUE"""),0)</f>
        <v>0</v>
      </c>
      <c r="C12" s="45">
        <f ca="1">IFERROR(__xludf.DUMMYFUNCTION("""COMPUTED_VALUE"""),0)</f>
        <v>0</v>
      </c>
      <c r="D12" s="45">
        <f ca="1">IFERROR(__xludf.DUMMYFUNCTION("""COMPUTED_VALUE"""),4)</f>
        <v>4</v>
      </c>
      <c r="E12" s="45">
        <f ca="1">IFERROR(__xludf.DUMMYFUNCTION("""COMPUTED_VALUE"""),1)</f>
        <v>1</v>
      </c>
      <c r="F12" s="45">
        <f ca="1">IFERROR(__xludf.DUMMYFUNCTION("""COMPUTED_VALUE"""),7)</f>
        <v>7</v>
      </c>
      <c r="G12" s="45">
        <f ca="1">IFERROR(__xludf.DUMMYFUNCTION("""COMPUTED_VALUE"""),2)</f>
        <v>2</v>
      </c>
      <c r="H12" s="45">
        <f ca="1">IFERROR(__xludf.DUMMYFUNCTION("""COMPUTED_VALUE"""),2)</f>
        <v>2</v>
      </c>
      <c r="I12" s="46">
        <f ca="1">IFERROR(__xludf.DUMMYFUNCTION("""COMPUTED_VALUE"""),24.5)</f>
        <v>24.5</v>
      </c>
      <c r="O12" t="str">
        <f ca="1">IFERROR(__xludf.DUMMYFUNCTION("""COMPUTED_VALUE"""),"Pos. recoms.")</f>
        <v>Pos. recoms.</v>
      </c>
      <c r="P12">
        <f ca="1">IFERROR(__xludf.DUMMYFUNCTION("""COMPUTED_VALUE"""),9)</f>
        <v>9</v>
      </c>
      <c r="Q12" t="str">
        <f ca="1">IFERROR(__xludf.DUMMYFUNCTION("""COMPUTED_VALUE"""),"")</f>
        <v/>
      </c>
    </row>
    <row r="13" spans="1:18">
      <c r="A13" s="45" t="str">
        <f ca="1">IFERROR(__xludf.DUMMYFUNCTION("""COMPUTED_VALUE"""),"BCS-Kikuli")</f>
        <v>BCS-Kikuli</v>
      </c>
      <c r="B13" s="45">
        <f ca="1">IFERROR(__xludf.DUMMYFUNCTION("""COMPUTED_VALUE"""),0)</f>
        <v>0</v>
      </c>
      <c r="C13" s="45">
        <f ca="1">IFERROR(__xludf.DUMMYFUNCTION("""COMPUTED_VALUE"""),0)</f>
        <v>0</v>
      </c>
      <c r="D13" s="45">
        <f ca="1">IFERROR(__xludf.DUMMYFUNCTION("""COMPUTED_VALUE"""),3)</f>
        <v>3</v>
      </c>
      <c r="E13" s="45">
        <f ca="1">IFERROR(__xludf.DUMMYFUNCTION("""COMPUTED_VALUE"""),0)</f>
        <v>0</v>
      </c>
      <c r="F13" s="45">
        <f ca="1">IFERROR(__xludf.DUMMYFUNCTION("""COMPUTED_VALUE"""),5)</f>
        <v>5</v>
      </c>
      <c r="G13" s="45">
        <f ca="1">IFERROR(__xludf.DUMMYFUNCTION("""COMPUTED_VALUE"""),0)</f>
        <v>0</v>
      </c>
      <c r="H13" s="45">
        <f ca="1">IFERROR(__xludf.DUMMYFUNCTION("""COMPUTED_VALUE"""),3)</f>
        <v>3</v>
      </c>
      <c r="I13" s="46">
        <f ca="1">IFERROR(__xludf.DUMMYFUNCTION("""COMPUTED_VALUE"""),14)</f>
        <v>14</v>
      </c>
      <c r="O13" t="str">
        <f ca="1">IFERROR(__xludf.DUMMYFUNCTION("""COMPUTED_VALUE"""),"OTH")</f>
        <v>OTH</v>
      </c>
      <c r="P13">
        <f ca="1">IFERROR(__xludf.DUMMYFUNCTION("""COMPUTED_VALUE"""),4)</f>
        <v>4</v>
      </c>
      <c r="Q13" t="str">
        <f ca="1">IFERROR(__xludf.DUMMYFUNCTION("""COMPUTED_VALUE"""),"")</f>
        <v/>
      </c>
    </row>
    <row r="14" spans="1:18">
      <c r="A14" s="45" t="str">
        <f ca="1">IFERROR(__xludf.DUMMYFUNCTION("""COMPUTED_VALUE"""),"PFC-Mthn06")</f>
        <v>PFC-Mthn06</v>
      </c>
      <c r="B14" s="45">
        <f ca="1">IFERROR(__xludf.DUMMYFUNCTION("""COMPUTED_VALUE"""),1)</f>
        <v>1</v>
      </c>
      <c r="C14" s="45">
        <f ca="1">IFERROR(__xludf.DUMMYFUNCTION("""COMPUTED_VALUE"""),0)</f>
        <v>0</v>
      </c>
      <c r="D14" s="45">
        <f ca="1">IFERROR(__xludf.DUMMYFUNCTION("""COMPUTED_VALUE"""),6)</f>
        <v>6</v>
      </c>
      <c r="E14" s="45">
        <f ca="1">IFERROR(__xludf.DUMMYFUNCTION("""COMPUTED_VALUE"""),2)</f>
        <v>2</v>
      </c>
      <c r="F14" s="45">
        <f ca="1">IFERROR(__xludf.DUMMYFUNCTION("""COMPUTED_VALUE"""),15)</f>
        <v>15</v>
      </c>
      <c r="G14" s="45">
        <f ca="1">IFERROR(__xludf.DUMMYFUNCTION("""COMPUTED_VALUE"""),0)</f>
        <v>0</v>
      </c>
      <c r="H14" s="45">
        <f ca="1">IFERROR(__xludf.DUMMYFUNCTION("""COMPUTED_VALUE"""),3)</f>
        <v>3</v>
      </c>
      <c r="I14" s="46">
        <f ca="1">IFERROR(__xludf.DUMMYFUNCTION("""COMPUTED_VALUE"""),34)</f>
        <v>34</v>
      </c>
      <c r="O14" t="str">
        <f ca="1">IFERROR(__xludf.DUMMYFUNCTION("""COMPUTED_VALUE"""),"BTH")</f>
        <v>BTH</v>
      </c>
      <c r="P14">
        <f ca="1">IFERROR(__xludf.DUMMYFUNCTION("""COMPUTED_VALUE"""),3)</f>
        <v>3</v>
      </c>
      <c r="Q14" t="str">
        <f ca="1">IFERROR(__xludf.DUMMYFUNCTION("""COMPUTED_VALUE"""),"")</f>
        <v/>
      </c>
    </row>
    <row r="15" spans="1:18">
      <c r="A15" s="45" t="str">
        <f ca="1">IFERROR(__xludf.DUMMYFUNCTION("""COMPUTED_VALUE"""),"SPC-Switly")</f>
        <v>SPC-Switly</v>
      </c>
      <c r="B15" s="45">
        <f ca="1">IFERROR(__xludf.DUMMYFUNCTION("""COMPUTED_VALUE"""),0)</f>
        <v>0</v>
      </c>
      <c r="C15" s="45">
        <f ca="1">IFERROR(__xludf.DUMMYFUNCTION("""COMPUTED_VALUE"""),0)</f>
        <v>0</v>
      </c>
      <c r="D15" s="45">
        <f ca="1">IFERROR(__xludf.DUMMYFUNCTION("""COMPUTED_VALUE"""),0)</f>
        <v>0</v>
      </c>
      <c r="E15" s="45">
        <f ca="1">IFERROR(__xludf.DUMMYFUNCTION("""COMPUTED_VALUE"""),0)</f>
        <v>0</v>
      </c>
      <c r="F15" s="45">
        <f ca="1">IFERROR(__xludf.DUMMYFUNCTION("""COMPUTED_VALUE"""),0)</f>
        <v>0</v>
      </c>
      <c r="G15" s="45">
        <f ca="1">IFERROR(__xludf.DUMMYFUNCTION("""COMPUTED_VALUE"""),0)</f>
        <v>0</v>
      </c>
      <c r="H15" s="45">
        <f ca="1">IFERROR(__xludf.DUMMYFUNCTION("""COMPUTED_VALUE"""),0)</f>
        <v>0</v>
      </c>
      <c r="I15" s="46">
        <f ca="1">IFERROR(__xludf.DUMMYFUNCTION("""COMPUTED_VALUE"""),0)</f>
        <v>0</v>
      </c>
      <c r="O15" t="str">
        <f ca="1">IFERROR(__xludf.DUMMYFUNCTION("""COMPUTED_VALUE"""),"TP")</f>
        <v>TP</v>
      </c>
      <c r="P15">
        <f ca="1">IFERROR(__xludf.DUMMYFUNCTION("""COMPUTED_VALUE"""),25)</f>
        <v>25</v>
      </c>
      <c r="Q15" t="str">
        <f ca="1">IFERROR(__xludf.DUMMYFUNCTION("""COMPUTED_VALUE"""),"")</f>
        <v/>
      </c>
    </row>
    <row r="16" spans="1:18">
      <c r="A16" s="45" t="str">
        <f ca="1">IFERROR(__xludf.DUMMYFUNCTION("""COMPUTED_VALUE"""),"BCS-Albino")</f>
        <v>BCS-Albino</v>
      </c>
      <c r="B16" s="45">
        <f ca="1">IFERROR(__xludf.DUMMYFUNCTION("""COMPUTED_VALUE"""),0)</f>
        <v>0</v>
      </c>
      <c r="C16" s="45">
        <f ca="1">IFERROR(__xludf.DUMMYFUNCTION("""COMPUTED_VALUE"""),0)</f>
        <v>0</v>
      </c>
      <c r="D16" s="45">
        <f ca="1">IFERROR(__xludf.DUMMYFUNCTION("""COMPUTED_VALUE"""),0)</f>
        <v>0</v>
      </c>
      <c r="E16" s="45">
        <f ca="1">IFERROR(__xludf.DUMMYFUNCTION("""COMPUTED_VALUE"""),0)</f>
        <v>0</v>
      </c>
      <c r="F16" s="45">
        <f ca="1">IFERROR(__xludf.DUMMYFUNCTION("""COMPUTED_VALUE"""),0)</f>
        <v>0</v>
      </c>
      <c r="G16" s="45">
        <f ca="1">IFERROR(__xludf.DUMMYFUNCTION("""COMPUTED_VALUE"""),0)</f>
        <v>0</v>
      </c>
      <c r="H16" s="45">
        <f ca="1">IFERROR(__xludf.DUMMYFUNCTION("""COMPUTED_VALUE"""),1)</f>
        <v>1</v>
      </c>
      <c r="I16" s="46">
        <f ca="1">IFERROR(__xludf.DUMMYFUNCTION("""COMPUTED_VALUE"""),2)</f>
        <v>2</v>
      </c>
      <c r="O16" t="str">
        <f ca="1">IFERROR(__xludf.DUMMYFUNCTION("""COMPUTED_VALUE"""),"ATH")</f>
        <v>ATH</v>
      </c>
      <c r="P16">
        <f ca="1">IFERROR(__xludf.DUMMYFUNCTION("""COMPUTED_VALUE"""),13)</f>
        <v>13</v>
      </c>
      <c r="Q16" t="str">
        <f ca="1">IFERROR(__xludf.DUMMYFUNCTION("""COMPUTED_VALUE"""),"")</f>
        <v/>
      </c>
    </row>
    <row r="17" spans="1:18" ht="15.75" customHeight="1">
      <c r="A17" s="43" t="str">
        <f ca="1">IFERROR(__xludf.DUMMYFUNCTION("""COMPUTED_VALUE"""),"BCS-Ares")</f>
        <v>BCS-Ares</v>
      </c>
      <c r="B17" s="50" t="str">
        <f ca="1">IFERROR(__xludf.DUMMYFUNCTION("""COMPUTED_VALUE"""),"")</f>
        <v/>
      </c>
      <c r="C17" s="50" t="str">
        <f ca="1">IFERROR(__xludf.DUMMYFUNCTION("""COMPUTED_VALUE"""),"")</f>
        <v/>
      </c>
      <c r="D17" s="50" t="str">
        <f ca="1">IFERROR(__xludf.DUMMYFUNCTION("""COMPUTED_VALUE"""),"")</f>
        <v/>
      </c>
      <c r="E17" s="50" t="str">
        <f ca="1">IFERROR(__xludf.DUMMYFUNCTION("""COMPUTED_VALUE"""),"")</f>
        <v/>
      </c>
      <c r="F17" s="50" t="str">
        <f ca="1">IFERROR(__xludf.DUMMYFUNCTION("""COMPUTED_VALUE"""),"")</f>
        <v/>
      </c>
      <c r="G17" s="50" t="str">
        <f ca="1">IFERROR(__xludf.DUMMYFUNCTION("""COMPUTED_VALUE"""),"")</f>
        <v/>
      </c>
      <c r="H17" s="50" t="str">
        <f ca="1">IFERROR(__xludf.DUMMYFUNCTION("""COMPUTED_VALUE"""),"")</f>
        <v/>
      </c>
      <c r="I17" s="44">
        <f ca="1">IFERROR(__xludf.DUMMYFUNCTION("""COMPUTED_VALUE"""),0)</f>
        <v>0</v>
      </c>
      <c r="O17" t="str">
        <f ca="1">IFERROR(__xludf.DUMMYFUNCTION("""COMPUTED_VALUE"""),"ATP")</f>
        <v>ATP</v>
      </c>
      <c r="P17">
        <f ca="1">IFERROR(__xludf.DUMMYFUNCTION("""COMPUTED_VALUE"""),60)</f>
        <v>60</v>
      </c>
      <c r="Q17" t="str">
        <f ca="1">IFERROR(__xludf.DUMMYFUNCTION("""COMPUTED_VALUE"""),"")</f>
        <v/>
      </c>
    </row>
    <row r="18" spans="1:18">
      <c r="A18" s="45" t="str">
        <f ca="1">IFERROR(__xludf.DUMMYFUNCTION("""COMPUTED_VALUE"""),"CPL-Rabeez")</f>
        <v>CPL-Rabeez</v>
      </c>
      <c r="B18" s="45">
        <f ca="1">IFERROR(__xludf.DUMMYFUNCTION("""COMPUTED_VALUE"""),0)</f>
        <v>0</v>
      </c>
      <c r="C18" s="45">
        <f ca="1">IFERROR(__xludf.DUMMYFUNCTION("""COMPUTED_VALUE"""),0)</f>
        <v>0</v>
      </c>
      <c r="D18" s="45">
        <f ca="1">IFERROR(__xludf.DUMMYFUNCTION("""COMPUTED_VALUE"""),1)</f>
        <v>1</v>
      </c>
      <c r="E18" s="45">
        <f ca="1">IFERROR(__xludf.DUMMYFUNCTION("""COMPUTED_VALUE"""),2)</f>
        <v>2</v>
      </c>
      <c r="F18" s="45">
        <f ca="1">IFERROR(__xludf.DUMMYFUNCTION("""COMPUTED_VALUE"""),1)</f>
        <v>1</v>
      </c>
      <c r="G18" s="45">
        <f ca="1">IFERROR(__xludf.DUMMYFUNCTION("""COMPUTED_VALUE"""),0)</f>
        <v>0</v>
      </c>
      <c r="H18" s="45">
        <f ca="1">IFERROR(__xludf.DUMMYFUNCTION("""COMPUTED_VALUE"""),1)</f>
        <v>1</v>
      </c>
      <c r="I18" s="46">
        <f ca="1">IFERROR(__xludf.DUMMYFUNCTION("""COMPUTED_VALUE"""),7)</f>
        <v>7</v>
      </c>
      <c r="O18" t="str">
        <f ca="1">IFERROR(__xludf.DUMMYFUNCTION("""COMPUTED_VALUE"""),"WZL")</f>
        <v>WZL</v>
      </c>
      <c r="P18">
        <f ca="1">IFERROR(__xludf.DUMMYFUNCTION("""COMPUTED_VALUE"""),5)</f>
        <v>5</v>
      </c>
      <c r="Q18" t="str">
        <f ca="1">IFERROR(__xludf.DUMMYFUNCTION("""COMPUTED_VALUE"""),"")</f>
        <v/>
      </c>
    </row>
    <row r="19" spans="1:18">
      <c r="A19" s="45" t="str">
        <f ca="1">IFERROR(__xludf.DUMMYFUNCTION("""COMPUTED_VALUE"""),"PVT-Jesmonde")</f>
        <v>PVT-Jesmonde</v>
      </c>
      <c r="B19" s="45">
        <f ca="1">IFERROR(__xludf.DUMMYFUNCTION("""COMPUTED_VALUE"""),0)</f>
        <v>0</v>
      </c>
      <c r="C19" s="45">
        <f ca="1">IFERROR(__xludf.DUMMYFUNCTION("""COMPUTED_VALUE"""),0)</f>
        <v>0</v>
      </c>
      <c r="D19" s="45">
        <f ca="1">IFERROR(__xludf.DUMMYFUNCTION("""COMPUTED_VALUE"""),4)</f>
        <v>4</v>
      </c>
      <c r="E19" s="45">
        <f ca="1">IFERROR(__xludf.DUMMYFUNCTION("""COMPUTED_VALUE"""),0)</f>
        <v>0</v>
      </c>
      <c r="F19" s="45">
        <f ca="1">IFERROR(__xludf.DUMMYFUNCTION("""COMPUTED_VALUE"""),5)</f>
        <v>5</v>
      </c>
      <c r="G19" s="45">
        <f ca="1">IFERROR(__xludf.DUMMYFUNCTION("""COMPUTED_VALUE"""),1)</f>
        <v>1</v>
      </c>
      <c r="H19" s="45">
        <f ca="1">IFERROR(__xludf.DUMMYFUNCTION("""COMPUTED_VALUE"""),2)</f>
        <v>2</v>
      </c>
      <c r="I19" s="46">
        <f ca="1">IFERROR(__xludf.DUMMYFUNCTION("""COMPUTED_VALUE"""),17)</f>
        <v>17</v>
      </c>
      <c r="O19" t="str">
        <f ca="1">IFERROR(__xludf.DUMMYFUNCTION("""COMPUTED_VALUE"""),"WZP")</f>
        <v>WZP</v>
      </c>
      <c r="P19">
        <f ca="1">IFERROR(__xludf.DUMMYFUNCTION("""COMPUTED_VALUE"""),24)</f>
        <v>24</v>
      </c>
      <c r="Q19" t="str">
        <f ca="1">IFERROR(__xludf.DUMMYFUNCTION("""COMPUTED_VALUE"""),"")</f>
        <v/>
      </c>
    </row>
    <row r="20" spans="1:18">
      <c r="A20" s="45" t="str">
        <f ca="1">IFERROR(__xludf.DUMMYFUNCTION("""COMPUTED_VALUE"""),"BCS-Kevin")</f>
        <v>BCS-Kevin</v>
      </c>
      <c r="B20" s="45">
        <f ca="1">IFERROR(__xludf.DUMMYFUNCTION("""COMPUTED_VALUE"""),0)</f>
        <v>0</v>
      </c>
      <c r="C20" s="45">
        <f ca="1">IFERROR(__xludf.DUMMYFUNCTION("""COMPUTED_VALUE"""),0)</f>
        <v>0</v>
      </c>
      <c r="D20" s="45">
        <f ca="1">IFERROR(__xludf.DUMMYFUNCTION("""COMPUTED_VALUE"""),0)</f>
        <v>0</v>
      </c>
      <c r="E20" s="45">
        <f ca="1">IFERROR(__xludf.DUMMYFUNCTION("""COMPUTED_VALUE"""),0)</f>
        <v>0</v>
      </c>
      <c r="F20" s="45">
        <f ca="1">IFERROR(__xludf.DUMMYFUNCTION("""COMPUTED_VALUE"""),0)</f>
        <v>0</v>
      </c>
      <c r="G20" s="45">
        <f ca="1">IFERROR(__xludf.DUMMYFUNCTION("""COMPUTED_VALUE"""),0)</f>
        <v>0</v>
      </c>
      <c r="H20" s="45">
        <f ca="1">IFERROR(__xludf.DUMMYFUNCTION("""COMPUTED_VALUE"""),1)</f>
        <v>1</v>
      </c>
      <c r="I20" s="46">
        <f ca="1">IFERROR(__xludf.DUMMYFUNCTION("""COMPUTED_VALUE"""),2)</f>
        <v>2</v>
      </c>
      <c r="O20" t="str">
        <f ca="1">IFERROR(__xludf.DUMMYFUNCTION("""COMPUTED_VALUE"""),"Most OTH")</f>
        <v>Most OTH</v>
      </c>
      <c r="P20">
        <f ca="1">IFERROR(__xludf.DUMMYFUNCTION("""COMPUTED_VALUE"""),2)</f>
        <v>2</v>
      </c>
      <c r="Q20" s="42" t="str">
        <f ca="1">IFERROR(__xludf.DUMMYFUNCTION("""COMPUTED_VALUE"""),"CPL-Jutsku")</f>
        <v>CPL-Jutsku</v>
      </c>
    </row>
    <row r="21" spans="1:18">
      <c r="A21" s="45" t="str">
        <f ca="1">IFERROR(__xludf.DUMMYFUNCTION("""COMPUTED_VALUE"""),"N/A")</f>
        <v>N/A</v>
      </c>
      <c r="B21" s="45" t="str">
        <f ca="1">IFERROR(__xludf.DUMMYFUNCTION("""COMPUTED_VALUE"""),"")</f>
        <v/>
      </c>
      <c r="C21" s="45" t="str">
        <f ca="1">IFERROR(__xludf.DUMMYFUNCTION("""COMPUTED_VALUE"""),"")</f>
        <v/>
      </c>
      <c r="D21" s="45" t="str">
        <f ca="1">IFERROR(__xludf.DUMMYFUNCTION("""COMPUTED_VALUE"""),"")</f>
        <v/>
      </c>
      <c r="E21" s="45" t="str">
        <f ca="1">IFERROR(__xludf.DUMMYFUNCTION("""COMPUTED_VALUE"""),"")</f>
        <v/>
      </c>
      <c r="F21" s="45" t="str">
        <f ca="1">IFERROR(__xludf.DUMMYFUNCTION("""COMPUTED_VALUE"""),"")</f>
        <v/>
      </c>
      <c r="G21" s="45" t="str">
        <f ca="1">IFERROR(__xludf.DUMMYFUNCTION("""COMPUTED_VALUE"""),"")</f>
        <v/>
      </c>
      <c r="H21" s="45" t="str">
        <f ca="1">IFERROR(__xludf.DUMMYFUNCTION("""COMPUTED_VALUE"""),"")</f>
        <v/>
      </c>
      <c r="I21" s="46">
        <f ca="1">IFERROR(__xludf.DUMMYFUNCTION("""COMPUTED_VALUE"""),0)</f>
        <v>0</v>
      </c>
      <c r="O21" t="str">
        <f ca="1">IFERROR(__xludf.DUMMYFUNCTION("""COMPUTED_VALUE"""),"Most BTH")</f>
        <v>Most BTH</v>
      </c>
      <c r="P21">
        <f ca="1">IFERROR(__xludf.DUMMYFUNCTION("""COMPUTED_VALUE"""),2)</f>
        <v>2</v>
      </c>
      <c r="Q21" s="51" t="str">
        <f ca="1">IFERROR(__xludf.DUMMYFUNCTION("""COMPUTED_VALUE"""),"RCT-Fast")</f>
        <v>RCT-Fast</v>
      </c>
    </row>
    <row r="22" spans="1:18">
      <c r="A22" s="45" t="str">
        <f ca="1">IFERROR(__xludf.DUMMYFUNCTION("""COMPUTED_VALUE"""),"N/A")</f>
        <v>N/A</v>
      </c>
      <c r="B22" s="45" t="str">
        <f ca="1">IFERROR(__xludf.DUMMYFUNCTION("""COMPUTED_VALUE"""),"")</f>
        <v/>
      </c>
      <c r="C22" s="45" t="str">
        <f ca="1">IFERROR(__xludf.DUMMYFUNCTION("""COMPUTED_VALUE"""),"")</f>
        <v/>
      </c>
      <c r="D22" s="45" t="str">
        <f ca="1">IFERROR(__xludf.DUMMYFUNCTION("""COMPUTED_VALUE"""),"")</f>
        <v/>
      </c>
      <c r="E22" s="45" t="str">
        <f ca="1">IFERROR(__xludf.DUMMYFUNCTION("""COMPUTED_VALUE"""),"")</f>
        <v/>
      </c>
      <c r="F22" s="45" t="str">
        <f ca="1">IFERROR(__xludf.DUMMYFUNCTION("""COMPUTED_VALUE"""),"")</f>
        <v/>
      </c>
      <c r="G22" s="45" t="str">
        <f ca="1">IFERROR(__xludf.DUMMYFUNCTION("""COMPUTED_VALUE"""),"")</f>
        <v/>
      </c>
      <c r="H22" s="45" t="str">
        <f ca="1">IFERROR(__xludf.DUMMYFUNCTION("""COMPUTED_VALUE"""),"")</f>
        <v/>
      </c>
      <c r="I22" s="46">
        <f ca="1">IFERROR(__xludf.DUMMYFUNCTION("""COMPUTED_VALUE"""),0)</f>
        <v>0</v>
      </c>
      <c r="O22" t="str">
        <f ca="1">IFERROR(__xludf.DUMMYFUNCTION("""COMPUTED_VALUE"""),"Most TP")</f>
        <v>Most TP</v>
      </c>
      <c r="P22">
        <f ca="1">IFERROR(__xludf.DUMMYFUNCTION("""COMPUTED_VALUE"""),6)</f>
        <v>6</v>
      </c>
      <c r="Q22" s="42" t="str">
        <f ca="1">IFERROR(__xludf.DUMMYFUNCTION("""COMPUTED_VALUE"""),"PFC-Mthn06")</f>
        <v>PFC-Mthn06</v>
      </c>
    </row>
    <row r="23" spans="1:18" ht="15.75" customHeight="1">
      <c r="O23" t="str">
        <f ca="1">IFERROR(__xludf.DUMMYFUNCTION("""COMPUTED_VALUE"""),"Most ATH")</f>
        <v>Most ATH</v>
      </c>
      <c r="P23">
        <f ca="1">IFERROR(__xludf.DUMMYFUNCTION("""COMPUTED_VALUE"""),4)</f>
        <v>4</v>
      </c>
      <c r="Q23" s="42" t="str">
        <f ca="1">IFERROR(__xludf.DUMMYFUNCTION("""COMPUTED_VALUE"""),"PFC-Arqueiro")</f>
        <v>PFC-Arqueiro</v>
      </c>
    </row>
    <row r="24" spans="1:18" ht="15.75" customHeight="1">
      <c r="O24" t="str">
        <f ca="1">IFERROR(__xludf.DUMMYFUNCTION("""COMPUTED_VALUE"""),"Most ATP")</f>
        <v>Most ATP</v>
      </c>
      <c r="P24">
        <f ca="1">IFERROR(__xludf.DUMMYFUNCTION("""COMPUTED_VALUE"""),15)</f>
        <v>15</v>
      </c>
      <c r="Q24" s="42" t="str">
        <f ca="1">IFERROR(__xludf.DUMMYFUNCTION("""COMPUTED_VALUE"""),"PFC-Mthn06")</f>
        <v>PFC-Mthn06</v>
      </c>
    </row>
    <row r="25" spans="1:18" ht="15.75" customHeight="1">
      <c r="O25" t="str">
        <f ca="1">IFERROR(__xludf.DUMMYFUNCTION("""COMPUTED_VALUE"""),"Most WZL")</f>
        <v>Most WZL</v>
      </c>
      <c r="P25">
        <f ca="1">IFERROR(__xludf.DUMMYFUNCTION("""COMPUTED_VALUE"""),2)</f>
        <v>2</v>
      </c>
      <c r="Q25" s="42" t="str">
        <f ca="1">IFERROR(__xludf.DUMMYFUNCTION("""COMPUTED_VALUE"""),"RCT-Flume")</f>
        <v>RCT-Flume</v>
      </c>
    </row>
    <row r="26" spans="1:18" ht="15.75" customHeight="1">
      <c r="O26" t="str">
        <f ca="1">IFERROR(__xludf.DUMMYFUNCTION("""COMPUTED_VALUE"""),"Most WZP")</f>
        <v>Most WZP</v>
      </c>
      <c r="P26">
        <f ca="1">IFERROR(__xludf.DUMMYFUNCTION("""COMPUTED_VALUE"""),4)</f>
        <v>4</v>
      </c>
      <c r="Q26" s="42" t="str">
        <f ca="1">IFERROR(__xludf.DUMMYFUNCTION("""COMPUTED_VALUE"""),"RCT-Filip")</f>
        <v>RCT-Filip</v>
      </c>
    </row>
    <row r="27" spans="1:18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8">
      <c r="A28" s="117" t="s">
        <v>52</v>
      </c>
      <c r="B28" s="118"/>
      <c r="C28" s="118"/>
      <c r="O28" s="40"/>
      <c r="P28" s="40"/>
      <c r="Q28" s="40"/>
    </row>
    <row r="29" spans="1:18" ht="15.75" customHeight="1">
      <c r="A29" s="53" t="str">
        <f ca="1">IFERROR(__xludf.DUMMYFUNCTION("IMPORTRANGE(""https://docs.google.com/spreadsheets/d/1Rm2dkBR8BjqT6lQoKwGV1YUkT9xPwCDbXTjfU9uZ5Bg/edit#gid=0"", ""A1005:I1025"")"),"#REF!")</f>
        <v>#REF!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42" t="str">
        <f ca="1">IFERROR(__xludf.DUMMYFUNCTION("IMPORTRANGE(""https://docs.google.com/spreadsheets/d/1Rm2dkBR8BjqT6lQoKwGV1YUkT9xPwCDbXTjfU9uZ5Bg/edit#gid=0"", ""A949:C973"")"),"#REF!")</f>
        <v>#REF!</v>
      </c>
      <c r="R29" s="54"/>
    </row>
    <row r="30" spans="1:18" ht="15.75" customHeight="1">
      <c r="A30" s="43"/>
      <c r="B30" s="43"/>
      <c r="C30" s="43"/>
      <c r="D30" s="43"/>
      <c r="E30" s="43"/>
      <c r="F30" s="43"/>
      <c r="G30" s="43"/>
      <c r="H30" s="43"/>
      <c r="I30" s="43"/>
      <c r="P30" s="42"/>
    </row>
    <row r="31" spans="1:18" ht="15.75" customHeight="1">
      <c r="A31" s="55"/>
      <c r="B31" s="55"/>
      <c r="C31" s="55"/>
      <c r="D31" s="55"/>
      <c r="E31" s="55"/>
      <c r="F31" s="55"/>
      <c r="G31" s="55"/>
      <c r="H31" s="55"/>
      <c r="I31" s="55"/>
      <c r="Q31" s="42"/>
    </row>
    <row r="32" spans="1:18" ht="15.75" customHeight="1">
      <c r="A32" s="55"/>
      <c r="B32" s="55"/>
      <c r="C32" s="55"/>
      <c r="D32" s="55"/>
      <c r="E32" s="55"/>
      <c r="F32" s="55"/>
      <c r="G32" s="55"/>
      <c r="H32" s="55"/>
      <c r="I32" s="55"/>
    </row>
    <row r="33" spans="1:17" ht="15.75" customHeight="1">
      <c r="A33" s="55"/>
      <c r="B33" s="55"/>
      <c r="C33" s="55"/>
      <c r="D33" s="55"/>
      <c r="E33" s="55"/>
      <c r="F33" s="55"/>
      <c r="G33" s="55"/>
      <c r="H33" s="55"/>
      <c r="I33" s="55"/>
    </row>
    <row r="34" spans="1:17" ht="15.75" customHeight="1">
      <c r="A34" s="55"/>
      <c r="B34" s="55"/>
      <c r="C34" s="55"/>
      <c r="D34" s="55"/>
      <c r="E34" s="55"/>
      <c r="F34" s="55"/>
      <c r="G34" s="55"/>
      <c r="H34" s="55"/>
      <c r="I34" s="55"/>
    </row>
    <row r="35" spans="1:17" ht="15.75" customHeight="1">
      <c r="A35" s="55"/>
      <c r="B35" s="55"/>
      <c r="C35" s="55"/>
      <c r="D35" s="55"/>
      <c r="E35" s="55"/>
      <c r="F35" s="55"/>
      <c r="G35" s="55"/>
      <c r="H35" s="55"/>
      <c r="I35" s="55"/>
    </row>
    <row r="36" spans="1:17" ht="15.75" customHeight="1">
      <c r="A36" s="55"/>
      <c r="B36" s="55"/>
      <c r="C36" s="55"/>
      <c r="D36" s="55"/>
      <c r="E36" s="55"/>
      <c r="F36" s="55"/>
      <c r="G36" s="55"/>
      <c r="H36" s="55"/>
      <c r="I36" s="55"/>
    </row>
    <row r="37" spans="1:17" ht="15.75" customHeight="1">
      <c r="A37" s="55"/>
      <c r="B37" s="55"/>
      <c r="C37" s="55"/>
      <c r="D37" s="55"/>
      <c r="E37" s="55"/>
      <c r="F37" s="55"/>
      <c r="G37" s="55"/>
      <c r="H37" s="55"/>
      <c r="I37" s="55"/>
    </row>
    <row r="38" spans="1:17" ht="15.75" customHeight="1">
      <c r="A38" s="55"/>
      <c r="B38" s="55"/>
      <c r="C38" s="55"/>
      <c r="D38" s="55"/>
      <c r="E38" s="55"/>
      <c r="F38" s="55"/>
      <c r="G38" s="55"/>
      <c r="H38" s="55"/>
      <c r="I38" s="55"/>
    </row>
    <row r="39" spans="1:17" ht="15.75" customHeight="1">
      <c r="A39" s="55"/>
      <c r="B39" s="55"/>
      <c r="C39" s="55"/>
      <c r="D39" s="55"/>
      <c r="E39" s="55"/>
      <c r="F39" s="55"/>
      <c r="G39" s="55"/>
      <c r="H39" s="55"/>
      <c r="I39" s="55"/>
    </row>
    <row r="40" spans="1:17" ht="15.75" customHeight="1">
      <c r="A40" s="55"/>
      <c r="B40" s="55"/>
      <c r="C40" s="55"/>
      <c r="D40" s="55"/>
      <c r="E40" s="55"/>
      <c r="F40" s="55"/>
      <c r="G40" s="55"/>
      <c r="H40" s="55"/>
      <c r="I40" s="55"/>
    </row>
    <row r="41" spans="1:17" ht="15.75" customHeight="1">
      <c r="A41" s="55"/>
      <c r="B41" s="55"/>
      <c r="C41" s="55"/>
      <c r="D41" s="55"/>
      <c r="E41" s="55"/>
      <c r="F41" s="55"/>
      <c r="G41" s="55"/>
      <c r="H41" s="55"/>
      <c r="I41" s="55"/>
    </row>
    <row r="42" spans="1:17" ht="15.75" customHeight="1">
      <c r="A42" s="55"/>
      <c r="B42" s="55"/>
      <c r="C42" s="55"/>
      <c r="D42" s="55"/>
      <c r="E42" s="55"/>
      <c r="F42" s="55"/>
      <c r="G42" s="55"/>
      <c r="H42" s="55"/>
      <c r="I42" s="55"/>
    </row>
    <row r="43" spans="1:17" ht="15.75" customHeight="1">
      <c r="A43" s="55"/>
      <c r="B43" s="55"/>
      <c r="C43" s="55"/>
      <c r="D43" s="55"/>
      <c r="E43" s="55"/>
      <c r="F43" s="55"/>
      <c r="G43" s="55"/>
      <c r="H43" s="55"/>
      <c r="I43" s="55"/>
    </row>
    <row r="44" spans="1:17" ht="15.75" customHeight="1">
      <c r="A44" s="55"/>
      <c r="B44" s="55"/>
      <c r="C44" s="55"/>
      <c r="D44" s="55"/>
      <c r="E44" s="55"/>
      <c r="F44" s="55"/>
      <c r="G44" s="55"/>
      <c r="H44" s="55"/>
      <c r="I44" s="55"/>
    </row>
    <row r="45" spans="1:17" ht="15.75" customHeight="1">
      <c r="A45" s="55"/>
      <c r="B45" s="55"/>
      <c r="C45" s="55"/>
      <c r="D45" s="55"/>
      <c r="E45" s="55"/>
      <c r="F45" s="55"/>
      <c r="G45" s="55"/>
      <c r="H45" s="55"/>
      <c r="I45" s="55"/>
    </row>
    <row r="46" spans="1:17" ht="15.75" customHeight="1">
      <c r="A46" s="55"/>
      <c r="B46" s="55"/>
      <c r="C46" s="55"/>
      <c r="D46" s="55"/>
      <c r="E46" s="55"/>
      <c r="F46" s="55"/>
      <c r="G46" s="55"/>
      <c r="H46" s="55"/>
      <c r="I46" s="55"/>
    </row>
    <row r="47" spans="1:17" ht="15.75" customHeight="1">
      <c r="A47" s="55"/>
      <c r="B47" s="55"/>
      <c r="C47" s="55"/>
      <c r="D47" s="55"/>
      <c r="E47" s="55"/>
      <c r="F47" s="55"/>
      <c r="G47" s="55"/>
      <c r="H47" s="55"/>
      <c r="I47" s="55"/>
      <c r="Q47" s="42"/>
    </row>
    <row r="48" spans="1:17" ht="15.75" customHeight="1">
      <c r="A48" s="55"/>
      <c r="B48" s="55"/>
      <c r="C48" s="55"/>
      <c r="D48" s="55"/>
      <c r="E48" s="55"/>
      <c r="F48" s="55"/>
      <c r="G48" s="55"/>
      <c r="H48" s="55"/>
      <c r="I48" s="55"/>
      <c r="Q48" s="42"/>
    </row>
    <row r="49" spans="1:18" ht="15.75" customHeight="1">
      <c r="A49" s="55"/>
      <c r="B49" s="55"/>
      <c r="C49" s="55"/>
      <c r="D49" s="55"/>
      <c r="E49" s="55"/>
      <c r="F49" s="55"/>
      <c r="G49" s="55"/>
      <c r="H49" s="55"/>
      <c r="I49" s="55"/>
      <c r="Q49" s="42"/>
    </row>
    <row r="50" spans="1:18" ht="15.75" customHeight="1">
      <c r="Q50" s="42"/>
    </row>
    <row r="51" spans="1:18" ht="15.75" customHeight="1">
      <c r="Q51" s="42"/>
    </row>
    <row r="52" spans="1:18" ht="15.75" customHeight="1">
      <c r="Q52" s="42"/>
    </row>
    <row r="53" spans="1:18" ht="15.75" customHeight="1">
      <c r="Q53" s="42"/>
    </row>
    <row r="54" spans="1:18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</row>
    <row r="55" spans="1:18">
      <c r="A55" s="117" t="s">
        <v>53</v>
      </c>
      <c r="B55" s="118"/>
      <c r="C55" s="118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56"/>
    </row>
    <row r="56" spans="1:18" ht="15.75" customHeight="1">
      <c r="A56" s="53" t="str">
        <f ca="1">IFERROR(__xludf.DUMMYFUNCTION("IMPORTRANGE(""1601xslnTfb3eh4j-gKkqrTNzFA3c5NQyu-Du8G4VX1M"", ""A1005:I1025"")"),"NAME")</f>
        <v>NAME</v>
      </c>
      <c r="B56" t="str">
        <f ca="1">IFERROR(__xludf.DUMMYFUNCTION("""COMPUTED_VALUE"""),"OTH")</f>
        <v>OTH</v>
      </c>
      <c r="C56" t="str">
        <f ca="1">IFERROR(__xludf.DUMMYFUNCTION("""COMPUTED_VALUE"""),"BTH")</f>
        <v>BTH</v>
      </c>
      <c r="D56" t="str">
        <f ca="1">IFERROR(__xludf.DUMMYFUNCTION("""COMPUTED_VALUE"""),"TP")</f>
        <v>TP</v>
      </c>
      <c r="E56" t="str">
        <f ca="1">IFERROR(__xludf.DUMMYFUNCTION("""COMPUTED_VALUE"""),"ATH")</f>
        <v>ATH</v>
      </c>
      <c r="F56" t="str">
        <f ca="1">IFERROR(__xludf.DUMMYFUNCTION("""COMPUTED_VALUE"""),"ATP")</f>
        <v>ATP</v>
      </c>
      <c r="G56" t="str">
        <f ca="1">IFERROR(__xludf.DUMMYFUNCTION("""COMPUTED_VALUE"""),"WZL")</f>
        <v>WZL</v>
      </c>
      <c r="H56" t="str">
        <f ca="1">IFERROR(__xludf.DUMMYFUNCTION("""COMPUTED_VALUE"""),"WZP")</f>
        <v>WZP</v>
      </c>
      <c r="I56" t="str">
        <f ca="1">IFERROR(__xludf.DUMMYFUNCTION("""COMPUTED_VALUE"""),"POINTS")</f>
        <v>POINTS</v>
      </c>
      <c r="O56" s="42" t="str">
        <f ca="1">IFERROR(__xludf.DUMMYFUNCTION("IMPORTRANGE(""1601xslnTfb3eh4j-gKkqrTNzFA3c5NQyu-Du8G4VX1M"", ""A949:C973"")"),"Statistics of the week")</f>
        <v>Statistics of the week</v>
      </c>
      <c r="P56" t="str">
        <f ca="1">IFERROR(__xludf.DUMMYFUNCTION("""COMPUTED_VALUE"""),"")</f>
        <v/>
      </c>
      <c r="Q56" t="str">
        <f ca="1">IFERROR(__xludf.DUMMYFUNCTION("""COMPUTED_VALUE"""),"")</f>
        <v/>
      </c>
    </row>
    <row r="57" spans="1:18" ht="15.75" customHeight="1">
      <c r="A57" t="str">
        <f ca="1">IFERROR(__xludf.DUMMYFUNCTION("""COMPUTED_VALUE"""),"Jutsku")</f>
        <v>Jutsku</v>
      </c>
      <c r="B57">
        <f ca="1">IFERROR(__xludf.DUMMYFUNCTION("""COMPUTED_VALUE"""),0)</f>
        <v>0</v>
      </c>
      <c r="C57">
        <f ca="1">IFERROR(__xludf.DUMMYFUNCTION("""COMPUTED_VALUE"""),0)</f>
        <v>0</v>
      </c>
      <c r="D57">
        <f ca="1">IFERROR(__xludf.DUMMYFUNCTION("""COMPUTED_VALUE"""),1)</f>
        <v>1</v>
      </c>
      <c r="E57">
        <f ca="1">IFERROR(__xludf.DUMMYFUNCTION("""COMPUTED_VALUE"""),3)</f>
        <v>3</v>
      </c>
      <c r="F57">
        <f ca="1">IFERROR(__xludf.DUMMYFUNCTION("""COMPUTED_VALUE"""),2)</f>
        <v>2</v>
      </c>
      <c r="G57">
        <f ca="1">IFERROR(__xludf.DUMMYFUNCTION("""COMPUTED_VALUE"""),3)</f>
        <v>3</v>
      </c>
      <c r="H57">
        <f ca="1">IFERROR(__xludf.DUMMYFUNCTION("""COMPUTED_VALUE"""),3)</f>
        <v>3</v>
      </c>
      <c r="I57">
        <f ca="1">IFERROR(__xludf.DUMMYFUNCTION("""COMPUTED_VALUE"""),25.5)</f>
        <v>25.5</v>
      </c>
      <c r="O57" t="str">
        <f ca="1">IFERROR(__xludf.DUMMYFUNCTION("""COMPUTED_VALUE"""),"Average points")</f>
        <v>Average points</v>
      </c>
      <c r="P57" s="42">
        <f ca="1">IFERROR(__xludf.DUMMYFUNCTION("""COMPUTED_VALUE"""),10.96875)</f>
        <v>10.96875</v>
      </c>
      <c r="Q57" t="str">
        <f ca="1">IFERROR(__xludf.DUMMYFUNCTION("""COMPUTED_VALUE"""),"")</f>
        <v/>
      </c>
    </row>
    <row r="58" spans="1:18" ht="15.75" customHeight="1">
      <c r="A58" t="str">
        <f ca="1">IFERROR(__xludf.DUMMYFUNCTION("""COMPUTED_VALUE"""),"Mthn06")</f>
        <v>Mthn06</v>
      </c>
      <c r="B58">
        <f ca="1">IFERROR(__xludf.DUMMYFUNCTION("""COMPUTED_VALUE"""),1)</f>
        <v>1</v>
      </c>
      <c r="C58">
        <f ca="1">IFERROR(__xludf.DUMMYFUNCTION("""COMPUTED_VALUE"""),0)</f>
        <v>0</v>
      </c>
      <c r="D58">
        <f ca="1">IFERROR(__xludf.DUMMYFUNCTION("""COMPUTED_VALUE"""),0)</f>
        <v>0</v>
      </c>
      <c r="E58">
        <f ca="1">IFERROR(__xludf.DUMMYFUNCTION("""COMPUTED_VALUE"""),0)</f>
        <v>0</v>
      </c>
      <c r="F58">
        <f ca="1">IFERROR(__xludf.DUMMYFUNCTION("""COMPUTED_VALUE"""),4)</f>
        <v>4</v>
      </c>
      <c r="G58">
        <f ca="1">IFERROR(__xludf.DUMMYFUNCTION("""COMPUTED_VALUE"""),0)</f>
        <v>0</v>
      </c>
      <c r="H58">
        <f ca="1">IFERROR(__xludf.DUMMYFUNCTION("""COMPUTED_VALUE"""),2)</f>
        <v>2</v>
      </c>
      <c r="I58">
        <f ca="1">IFERROR(__xludf.DUMMYFUNCTION("""COMPUTED_VALUE"""),12)</f>
        <v>12</v>
      </c>
      <c r="O58" t="str">
        <f ca="1">IFERROR(__xludf.DUMMYFUNCTION("""COMPUTED_VALUE"""),"Most points")</f>
        <v>Most points</v>
      </c>
      <c r="P58">
        <f ca="1">IFERROR(__xludf.DUMMYFUNCTION("""COMPUTED_VALUE"""),25.5)</f>
        <v>25.5</v>
      </c>
      <c r="Q58" s="42" t="str">
        <f ca="1">IFERROR(__xludf.DUMMYFUNCTION("""COMPUTED_VALUE"""),"Jutsku")</f>
        <v>Jutsku</v>
      </c>
    </row>
    <row r="59" spans="1:18" ht="15.75" customHeight="1">
      <c r="A59" t="str">
        <f ca="1">IFERROR(__xludf.DUMMYFUNCTION("""COMPUTED_VALUE"""),"Kikuli")</f>
        <v>Kikuli</v>
      </c>
      <c r="B59">
        <f ca="1">IFERROR(__xludf.DUMMYFUNCTION("""COMPUTED_VALUE"""),0)</f>
        <v>0</v>
      </c>
      <c r="C59">
        <f ca="1">IFERROR(__xludf.DUMMYFUNCTION("""COMPUTED_VALUE"""),0)</f>
        <v>0</v>
      </c>
      <c r="D59">
        <f ca="1">IFERROR(__xludf.DUMMYFUNCTION("""COMPUTED_VALUE"""),0)</f>
        <v>0</v>
      </c>
      <c r="E59">
        <f ca="1">IFERROR(__xludf.DUMMYFUNCTION("""COMPUTED_VALUE"""),0)</f>
        <v>0</v>
      </c>
      <c r="F59">
        <f ca="1">IFERROR(__xludf.DUMMYFUNCTION("""COMPUTED_VALUE"""),5)</f>
        <v>5</v>
      </c>
      <c r="G59">
        <f ca="1">IFERROR(__xludf.DUMMYFUNCTION("""COMPUTED_VALUE"""),0)</f>
        <v>0</v>
      </c>
      <c r="H59">
        <f ca="1">IFERROR(__xludf.DUMMYFUNCTION("""COMPUTED_VALUE"""),1)</f>
        <v>1</v>
      </c>
      <c r="I59">
        <f ca="1">IFERROR(__xludf.DUMMYFUNCTION("""COMPUTED_VALUE"""),7)</f>
        <v>7</v>
      </c>
      <c r="O59" t="str">
        <f ca="1">IFERROR(__xludf.DUMMYFUNCTION("""COMPUTED_VALUE"""),"Total points")</f>
        <v>Total points</v>
      </c>
      <c r="P59">
        <f ca="1">IFERROR(__xludf.DUMMYFUNCTION("""COMPUTED_VALUE"""),175.5)</f>
        <v>175.5</v>
      </c>
      <c r="Q59" t="str">
        <f ca="1">IFERROR(__xludf.DUMMYFUNCTION("""COMPUTED_VALUE"""),"")</f>
        <v/>
      </c>
    </row>
    <row r="60" spans="1:18" ht="15.75" customHeight="1">
      <c r="A60" t="str">
        <f ca="1">IFERROR(__xludf.DUMMYFUNCTION("""COMPUTED_VALUE"""),"Harlem")</f>
        <v>Harlem</v>
      </c>
      <c r="B60">
        <f ca="1">IFERROR(__xludf.DUMMYFUNCTION("""COMPUTED_VALUE"""),0)</f>
        <v>0</v>
      </c>
      <c r="C60">
        <f ca="1">IFERROR(__xludf.DUMMYFUNCTION("""COMPUTED_VALUE"""),0)</f>
        <v>0</v>
      </c>
      <c r="D60">
        <f ca="1">IFERROR(__xludf.DUMMYFUNCTION("""COMPUTED_VALUE"""),0)</f>
        <v>0</v>
      </c>
      <c r="E60">
        <f ca="1">IFERROR(__xludf.DUMMYFUNCTION("""COMPUTED_VALUE"""),0)</f>
        <v>0</v>
      </c>
      <c r="F60">
        <f ca="1">IFERROR(__xludf.DUMMYFUNCTION("""COMPUTED_VALUE"""),0)</f>
        <v>0</v>
      </c>
      <c r="G60">
        <f ca="1">IFERROR(__xludf.DUMMYFUNCTION("""COMPUTED_VALUE"""),0)</f>
        <v>0</v>
      </c>
      <c r="H60">
        <f ca="1">IFERROR(__xludf.DUMMYFUNCTION("""COMPUTED_VALUE"""),2)</f>
        <v>2</v>
      </c>
      <c r="I60">
        <f ca="1">IFERROR(__xludf.DUMMYFUNCTION("""COMPUTED_VALUE"""),4)</f>
        <v>4</v>
      </c>
      <c r="O60" t="str">
        <f ca="1">IFERROR(__xludf.DUMMYFUNCTION("""COMPUTED_VALUE"""),"No-lifers")</f>
        <v>No-lifers</v>
      </c>
      <c r="P60">
        <f ca="1">IFERROR(__xludf.DUMMYFUNCTION("""COMPUTED_VALUE"""),0)</f>
        <v>0</v>
      </c>
      <c r="Q60" t="str">
        <f ca="1">IFERROR(__xludf.DUMMYFUNCTION("""COMPUTED_VALUE"""),"")</f>
        <v/>
      </c>
    </row>
    <row r="61" spans="1:18" ht="15.75" customHeight="1">
      <c r="A61" t="str">
        <f ca="1">IFERROR(__xludf.DUMMYFUNCTION("""COMPUTED_VALUE"""),"Rabeez")</f>
        <v>Rabeez</v>
      </c>
      <c r="B61">
        <f ca="1">IFERROR(__xludf.DUMMYFUNCTION("""COMPUTED_VALUE"""),0)</f>
        <v>0</v>
      </c>
      <c r="C61">
        <f ca="1">IFERROR(__xludf.DUMMYFUNCTION("""COMPUTED_VALUE"""),0)</f>
        <v>0</v>
      </c>
      <c r="D61">
        <f ca="1">IFERROR(__xludf.DUMMYFUNCTION("""COMPUTED_VALUE"""),0)</f>
        <v>0</v>
      </c>
      <c r="E61">
        <f ca="1">IFERROR(__xludf.DUMMYFUNCTION("""COMPUTED_VALUE"""),1)</f>
        <v>1</v>
      </c>
      <c r="F61">
        <f ca="1">IFERROR(__xludf.DUMMYFUNCTION("""COMPUTED_VALUE"""),0)</f>
        <v>0</v>
      </c>
      <c r="G61">
        <f ca="1">IFERROR(__xludf.DUMMYFUNCTION("""COMPUTED_VALUE"""),1)</f>
        <v>1</v>
      </c>
      <c r="H61">
        <f ca="1">IFERROR(__xludf.DUMMYFUNCTION("""COMPUTED_VALUE"""),1)</f>
        <v>1</v>
      </c>
      <c r="I61">
        <f ca="1">IFERROR(__xludf.DUMMYFUNCTION("""COMPUTED_VALUE"""),7.5)</f>
        <v>7.5</v>
      </c>
      <c r="O61" s="57" t="str">
        <f ca="1">IFERROR(__xludf.DUMMYFUNCTION("""COMPUTED_VALUE"""),"Active")</f>
        <v>Active</v>
      </c>
      <c r="P61" s="57">
        <f ca="1">IFERROR(__xludf.DUMMYFUNCTION("""COMPUTED_VALUE"""),0)</f>
        <v>0</v>
      </c>
      <c r="Q61" t="str">
        <f ca="1">IFERROR(__xludf.DUMMYFUNCTION("""COMPUTED_VALUE"""),"")</f>
        <v/>
      </c>
    </row>
    <row r="62" spans="1:18" ht="15.75" customHeight="1">
      <c r="A62" t="str">
        <f ca="1">IFERROR(__xludf.DUMMYFUNCTION("""COMPUTED_VALUE"""),"Arqueiro")</f>
        <v>Arqueiro</v>
      </c>
      <c r="B62">
        <f ca="1">IFERROR(__xludf.DUMMYFUNCTION("""COMPUTED_VALUE"""),0)</f>
        <v>0</v>
      </c>
      <c r="C62">
        <f ca="1">IFERROR(__xludf.DUMMYFUNCTION("""COMPUTED_VALUE"""),0)</f>
        <v>0</v>
      </c>
      <c r="D62">
        <f ca="1">IFERROR(__xludf.DUMMYFUNCTION("""COMPUTED_VALUE"""),2)</f>
        <v>2</v>
      </c>
      <c r="E62">
        <f ca="1">IFERROR(__xludf.DUMMYFUNCTION("""COMPUTED_VALUE"""),1)</f>
        <v>1</v>
      </c>
      <c r="F62">
        <f ca="1">IFERROR(__xludf.DUMMYFUNCTION("""COMPUTED_VALUE"""),1)</f>
        <v>1</v>
      </c>
      <c r="G62">
        <f ca="1">IFERROR(__xludf.DUMMYFUNCTION("""COMPUTED_VALUE"""),1)</f>
        <v>1</v>
      </c>
      <c r="H62">
        <f ca="1">IFERROR(__xludf.DUMMYFUNCTION("""COMPUTED_VALUE"""),4)</f>
        <v>4</v>
      </c>
      <c r="I62">
        <f ca="1">IFERROR(__xludf.DUMMYFUNCTION("""COMPUTED_VALUE"""),16.5)</f>
        <v>16.5</v>
      </c>
      <c r="O62" s="57" t="str">
        <f ca="1">IFERROR(__xludf.DUMMYFUNCTION("""COMPUTED_VALUE"""),"Semi-Active")</f>
        <v>Semi-Active</v>
      </c>
      <c r="P62" s="57">
        <f ca="1">IFERROR(__xludf.DUMMYFUNCTION("""COMPUTED_VALUE"""),0)</f>
        <v>0</v>
      </c>
      <c r="Q62" t="str">
        <f ca="1">IFERROR(__xludf.DUMMYFUNCTION("""COMPUTED_VALUE"""),"")</f>
        <v/>
      </c>
    </row>
    <row r="63" spans="1:18" ht="15.75" customHeight="1">
      <c r="A63" t="str">
        <f ca="1">IFERROR(__xludf.DUMMYFUNCTION("""COMPUTED_VALUE"""),"Filip")</f>
        <v>Filip</v>
      </c>
      <c r="B63">
        <f ca="1">IFERROR(__xludf.DUMMYFUNCTION("""COMPUTED_VALUE"""),0)</f>
        <v>0</v>
      </c>
      <c r="C63">
        <f ca="1">IFERROR(__xludf.DUMMYFUNCTION("""COMPUTED_VALUE"""),0)</f>
        <v>0</v>
      </c>
      <c r="D63">
        <f ca="1">IFERROR(__xludf.DUMMYFUNCTION("""COMPUTED_VALUE"""),0)</f>
        <v>0</v>
      </c>
      <c r="E63">
        <f ca="1">IFERROR(__xludf.DUMMYFUNCTION("""COMPUTED_VALUE"""),0)</f>
        <v>0</v>
      </c>
      <c r="F63">
        <f ca="1">IFERROR(__xludf.DUMMYFUNCTION("""COMPUTED_VALUE"""),4)</f>
        <v>4</v>
      </c>
      <c r="G63">
        <f ca="1">IFERROR(__xludf.DUMMYFUNCTION("""COMPUTED_VALUE"""),0)</f>
        <v>0</v>
      </c>
      <c r="H63">
        <f ca="1">IFERROR(__xludf.DUMMYFUNCTION("""COMPUTED_VALUE"""),3)</f>
        <v>3</v>
      </c>
      <c r="I63">
        <f ca="1">IFERROR(__xludf.DUMMYFUNCTION("""COMPUTED_VALUE"""),10)</f>
        <v>10</v>
      </c>
      <c r="L63" s="19" t="s">
        <v>56</v>
      </c>
      <c r="M63" s="58"/>
      <c r="O63" s="57" t="str">
        <f ca="1">IFERROR(__xludf.DUMMYFUNCTION("""COMPUTED_VALUE"""),"Inactive")</f>
        <v>Inactive</v>
      </c>
      <c r="P63" s="57">
        <f ca="1">IFERROR(__xludf.DUMMYFUNCTION("""COMPUTED_VALUE"""),0)</f>
        <v>0</v>
      </c>
      <c r="Q63" t="str">
        <f ca="1">IFERROR(__xludf.DUMMYFUNCTION("""COMPUTED_VALUE"""),"")</f>
        <v/>
      </c>
    </row>
    <row r="64" spans="1:18" ht="15.75" customHeight="1">
      <c r="A64" t="str">
        <f ca="1">IFERROR(__xludf.DUMMYFUNCTION("""COMPUTED_VALUE"""),"Belal")</f>
        <v>Belal</v>
      </c>
      <c r="B64">
        <f ca="1">IFERROR(__xludf.DUMMYFUNCTION("""COMPUTED_VALUE"""),0)</f>
        <v>0</v>
      </c>
      <c r="C64">
        <f ca="1">IFERROR(__xludf.DUMMYFUNCTION("""COMPUTED_VALUE"""),0)</f>
        <v>0</v>
      </c>
      <c r="D64">
        <f ca="1">IFERROR(__xludf.DUMMYFUNCTION("""COMPUTED_VALUE"""),1)</f>
        <v>1</v>
      </c>
      <c r="E64">
        <f ca="1">IFERROR(__xludf.DUMMYFUNCTION("""COMPUTED_VALUE"""),0)</f>
        <v>0</v>
      </c>
      <c r="F64">
        <f ca="1">IFERROR(__xludf.DUMMYFUNCTION("""COMPUTED_VALUE"""),4)</f>
        <v>4</v>
      </c>
      <c r="G64">
        <f ca="1">IFERROR(__xludf.DUMMYFUNCTION("""COMPUTED_VALUE"""),0)</f>
        <v>0</v>
      </c>
      <c r="H64">
        <f ca="1">IFERROR(__xludf.DUMMYFUNCTION("""COMPUTED_VALUE"""),6)</f>
        <v>6</v>
      </c>
      <c r="I64">
        <f ca="1">IFERROR(__xludf.DUMMYFUNCTION("""COMPUTED_VALUE"""),17)</f>
        <v>17</v>
      </c>
      <c r="O64" s="57" t="str">
        <f ca="1">IFERROR(__xludf.DUMMYFUNCTION("""COMPUTED_VALUE"""),"LOA")</f>
        <v>LOA</v>
      </c>
      <c r="P64" s="57">
        <f ca="1">IFERROR(__xludf.DUMMYFUNCTION("""COMPUTED_VALUE"""),0)</f>
        <v>0</v>
      </c>
      <c r="Q64" t="str">
        <f ca="1">IFERROR(__xludf.DUMMYFUNCTION("""COMPUTED_VALUE"""),"")</f>
        <v/>
      </c>
    </row>
    <row r="65" spans="1:17" ht="15.75" customHeight="1">
      <c r="A65" t="str">
        <f ca="1">IFERROR(__xludf.DUMMYFUNCTION("""COMPUTED_VALUE"""),"Titan")</f>
        <v>Titan</v>
      </c>
      <c r="B65">
        <f ca="1">IFERROR(__xludf.DUMMYFUNCTION("""COMPUTED_VALUE"""),0)</f>
        <v>0</v>
      </c>
      <c r="C65">
        <f ca="1">IFERROR(__xludf.DUMMYFUNCTION("""COMPUTED_VALUE"""),0)</f>
        <v>0</v>
      </c>
      <c r="D65">
        <f ca="1">IFERROR(__xludf.DUMMYFUNCTION("""COMPUTED_VALUE"""),0)</f>
        <v>0</v>
      </c>
      <c r="E65">
        <f ca="1">IFERROR(__xludf.DUMMYFUNCTION("""COMPUTED_VALUE"""),0)</f>
        <v>0</v>
      </c>
      <c r="F65">
        <f ca="1">IFERROR(__xludf.DUMMYFUNCTION("""COMPUTED_VALUE"""),2)</f>
        <v>2</v>
      </c>
      <c r="G65">
        <f ca="1">IFERROR(__xludf.DUMMYFUNCTION("""COMPUTED_VALUE"""),0)</f>
        <v>0</v>
      </c>
      <c r="H65">
        <f ca="1">IFERROR(__xludf.DUMMYFUNCTION("""COMPUTED_VALUE"""),4)</f>
        <v>4</v>
      </c>
      <c r="I65">
        <f ca="1">IFERROR(__xludf.DUMMYFUNCTION("""COMPUTED_VALUE"""),10)</f>
        <v>10</v>
      </c>
      <c r="O65" s="57" t="str">
        <f ca="1">IFERROR(__xludf.DUMMYFUNCTION("""COMPUTED_VALUE"""),"Undefined")</f>
        <v>Undefined</v>
      </c>
      <c r="P65" s="57">
        <f ca="1">IFERROR(__xludf.DUMMYFUNCTION("""COMPUTED_VALUE"""),8)</f>
        <v>8</v>
      </c>
      <c r="Q65" t="str">
        <f ca="1">IFERROR(__xludf.DUMMYFUNCTION("""COMPUTED_VALUE"""),"")</f>
        <v/>
      </c>
    </row>
    <row r="66" spans="1:17" ht="15.75" customHeight="1">
      <c r="A66" t="str">
        <f ca="1">IFERROR(__xludf.DUMMYFUNCTION("""COMPUTED_VALUE"""),"Jesmonde")</f>
        <v>Jesmonde</v>
      </c>
      <c r="B66">
        <f ca="1">IFERROR(__xludf.DUMMYFUNCTION("""COMPUTED_VALUE"""),0)</f>
        <v>0</v>
      </c>
      <c r="C66">
        <f ca="1">IFERROR(__xludf.DUMMYFUNCTION("""COMPUTED_VALUE"""),0)</f>
        <v>0</v>
      </c>
      <c r="D66">
        <f ca="1">IFERROR(__xludf.DUMMYFUNCTION("""COMPUTED_VALUE"""),1)</f>
        <v>1</v>
      </c>
      <c r="E66">
        <f ca="1">IFERROR(__xludf.DUMMYFUNCTION("""COMPUTED_VALUE"""),1)</f>
        <v>1</v>
      </c>
      <c r="F66">
        <f ca="1">IFERROR(__xludf.DUMMYFUNCTION("""COMPUTED_VALUE"""),1)</f>
        <v>1</v>
      </c>
      <c r="G66">
        <f ca="1">IFERROR(__xludf.DUMMYFUNCTION("""COMPUTED_VALUE"""),0)</f>
        <v>0</v>
      </c>
      <c r="H66">
        <f ca="1">IFERROR(__xludf.DUMMYFUNCTION("""COMPUTED_VALUE"""),3)</f>
        <v>3</v>
      </c>
      <c r="I66">
        <f ca="1">IFERROR(__xludf.DUMMYFUNCTION("""COMPUTED_VALUE"""),9.5)</f>
        <v>9.5</v>
      </c>
      <c r="O66" t="str">
        <f ca="1">IFERROR(__xludf.DUMMYFUNCTION("""COMPUTED_VALUE"""),"Pos. recoms.")</f>
        <v>Pos. recoms.</v>
      </c>
      <c r="P66">
        <f ca="1">IFERROR(__xludf.DUMMYFUNCTION("""COMPUTED_VALUE"""),10)</f>
        <v>10</v>
      </c>
      <c r="Q66" t="str">
        <f ca="1">IFERROR(__xludf.DUMMYFUNCTION("""COMPUTED_VALUE"""),"")</f>
        <v/>
      </c>
    </row>
    <row r="67" spans="1:17" ht="15.75" customHeight="1">
      <c r="A67" t="str">
        <f ca="1">IFERROR(__xludf.DUMMYFUNCTION("""COMPUTED_VALUE"""),"Albino")</f>
        <v>Albino</v>
      </c>
      <c r="B67">
        <f ca="1">IFERROR(__xludf.DUMMYFUNCTION("""COMPUTED_VALUE"""),0)</f>
        <v>0</v>
      </c>
      <c r="C67">
        <f ca="1">IFERROR(__xludf.DUMMYFUNCTION("""COMPUTED_VALUE"""),0)</f>
        <v>0</v>
      </c>
      <c r="D67">
        <f ca="1">IFERROR(__xludf.DUMMYFUNCTION("""COMPUTED_VALUE"""),0)</f>
        <v>0</v>
      </c>
      <c r="E67">
        <f ca="1">IFERROR(__xludf.DUMMYFUNCTION("""COMPUTED_VALUE"""),0)</f>
        <v>0</v>
      </c>
      <c r="F67">
        <f ca="1">IFERROR(__xludf.DUMMYFUNCTION("""COMPUTED_VALUE"""),1)</f>
        <v>1</v>
      </c>
      <c r="G67">
        <f ca="1">IFERROR(__xludf.DUMMYFUNCTION("""COMPUTED_VALUE"""),0)</f>
        <v>0</v>
      </c>
      <c r="H67">
        <f ca="1">IFERROR(__xludf.DUMMYFUNCTION("""COMPUTED_VALUE"""),0)</f>
        <v>0</v>
      </c>
      <c r="I67">
        <f ca="1">IFERROR(__xludf.DUMMYFUNCTION("""COMPUTED_VALUE"""),1)</f>
        <v>1</v>
      </c>
      <c r="O67" t="str">
        <f ca="1">IFERROR(__xludf.DUMMYFUNCTION("""COMPUTED_VALUE"""),"OTH")</f>
        <v>OTH</v>
      </c>
      <c r="P67">
        <f ca="1">IFERROR(__xludf.DUMMYFUNCTION("""COMPUTED_VALUE"""),1)</f>
        <v>1</v>
      </c>
      <c r="Q67" t="str">
        <f ca="1">IFERROR(__xludf.DUMMYFUNCTION("""COMPUTED_VALUE"""),"")</f>
        <v/>
      </c>
    </row>
    <row r="68" spans="1:17" ht="15.75" customHeight="1">
      <c r="A68" t="str">
        <f ca="1">IFERROR(__xludf.DUMMYFUNCTION("""COMPUTED_VALUE"""),"Cold")</f>
        <v>Cold</v>
      </c>
      <c r="B68">
        <f ca="1">IFERROR(__xludf.DUMMYFUNCTION("""COMPUTED_VALUE"""),0)</f>
        <v>0</v>
      </c>
      <c r="C68">
        <f ca="1">IFERROR(__xludf.DUMMYFUNCTION("""COMPUTED_VALUE"""),0)</f>
        <v>0</v>
      </c>
      <c r="D68">
        <f ca="1">IFERROR(__xludf.DUMMYFUNCTION("""COMPUTED_VALUE"""),1)</f>
        <v>1</v>
      </c>
      <c r="E68">
        <f ca="1">IFERROR(__xludf.DUMMYFUNCTION("""COMPUTED_VALUE"""),0)</f>
        <v>0</v>
      </c>
      <c r="F68">
        <f ca="1">IFERROR(__xludf.DUMMYFUNCTION("""COMPUTED_VALUE"""),2)</f>
        <v>2</v>
      </c>
      <c r="G68">
        <f ca="1">IFERROR(__xludf.DUMMYFUNCTION("""COMPUTED_VALUE"""),0)</f>
        <v>0</v>
      </c>
      <c r="H68">
        <f ca="1">IFERROR(__xludf.DUMMYFUNCTION("""COMPUTED_VALUE"""),2)</f>
        <v>2</v>
      </c>
      <c r="I68">
        <f ca="1">IFERROR(__xludf.DUMMYFUNCTION("""COMPUTED_VALUE"""),7)</f>
        <v>7</v>
      </c>
      <c r="O68" t="str">
        <f ca="1">IFERROR(__xludf.DUMMYFUNCTION("""COMPUTED_VALUE"""),"BTH")</f>
        <v>BTH</v>
      </c>
      <c r="P68">
        <f ca="1">IFERROR(__xludf.DUMMYFUNCTION("""COMPUTED_VALUE"""),1)</f>
        <v>1</v>
      </c>
      <c r="Q68" t="str">
        <f ca="1">IFERROR(__xludf.DUMMYFUNCTION("""COMPUTED_VALUE"""),"")</f>
        <v/>
      </c>
    </row>
    <row r="69" spans="1:17" ht="15.75" customHeight="1">
      <c r="A69" t="str">
        <f ca="1">IFERROR(__xludf.DUMMYFUNCTION("""COMPUTED_VALUE"""),"Alemi")</f>
        <v>Alemi</v>
      </c>
      <c r="B69">
        <f ca="1">IFERROR(__xludf.DUMMYFUNCTION("""COMPUTED_VALUE"""),0)</f>
        <v>0</v>
      </c>
      <c r="C69">
        <f ca="1">IFERROR(__xludf.DUMMYFUNCTION("""COMPUTED_VALUE"""),0)</f>
        <v>0</v>
      </c>
      <c r="D69">
        <f ca="1">IFERROR(__xludf.DUMMYFUNCTION("""COMPUTED_VALUE"""),1)</f>
        <v>1</v>
      </c>
      <c r="E69">
        <f ca="1">IFERROR(__xludf.DUMMYFUNCTION("""COMPUTED_VALUE"""),5)</f>
        <v>5</v>
      </c>
      <c r="F69">
        <f ca="1">IFERROR(__xludf.DUMMYFUNCTION("""COMPUTED_VALUE"""),2)</f>
        <v>2</v>
      </c>
      <c r="G69">
        <f ca="1">IFERROR(__xludf.DUMMYFUNCTION("""COMPUTED_VALUE"""),0)</f>
        <v>0</v>
      </c>
      <c r="H69">
        <f ca="1">IFERROR(__xludf.DUMMYFUNCTION("""COMPUTED_VALUE"""),1)</f>
        <v>1</v>
      </c>
      <c r="I69">
        <f ca="1">IFERROR(__xludf.DUMMYFUNCTION("""COMPUTED_VALUE"""),12.5)</f>
        <v>12.5</v>
      </c>
      <c r="O69" t="str">
        <f ca="1">IFERROR(__xludf.DUMMYFUNCTION("""COMPUTED_VALUE"""),"TP")</f>
        <v>TP</v>
      </c>
      <c r="P69">
        <f ca="1">IFERROR(__xludf.DUMMYFUNCTION("""COMPUTED_VALUE"""),7)</f>
        <v>7</v>
      </c>
      <c r="Q69" t="str">
        <f ca="1">IFERROR(__xludf.DUMMYFUNCTION("""COMPUTED_VALUE"""),"")</f>
        <v/>
      </c>
    </row>
    <row r="70" spans="1:17" ht="15.75" customHeight="1">
      <c r="A70" t="str">
        <f ca="1">IFERROR(__xludf.DUMMYFUNCTION("""COMPUTED_VALUE"""),"Flume")</f>
        <v>Flume</v>
      </c>
      <c r="B70">
        <f ca="1">IFERROR(__xludf.DUMMYFUNCTION("""COMPUTED_VALUE"""),0)</f>
        <v>0</v>
      </c>
      <c r="C70">
        <f ca="1">IFERROR(__xludf.DUMMYFUNCTION("""COMPUTED_VALUE"""),1)</f>
        <v>1</v>
      </c>
      <c r="D70">
        <f ca="1">IFERROR(__xludf.DUMMYFUNCTION("""COMPUTED_VALUE"""),0)</f>
        <v>0</v>
      </c>
      <c r="E70">
        <f ca="1">IFERROR(__xludf.DUMMYFUNCTION("""COMPUTED_VALUE"""),0)</f>
        <v>0</v>
      </c>
      <c r="F70">
        <f ca="1">IFERROR(__xludf.DUMMYFUNCTION("""COMPUTED_VALUE"""),3)</f>
        <v>3</v>
      </c>
      <c r="G70">
        <f ca="1">IFERROR(__xludf.DUMMYFUNCTION("""COMPUTED_VALUE"""),4)</f>
        <v>4</v>
      </c>
      <c r="H70">
        <f ca="1">IFERROR(__xludf.DUMMYFUNCTION("""COMPUTED_VALUE"""),0)</f>
        <v>0</v>
      </c>
      <c r="I70">
        <f ca="1">IFERROR(__xludf.DUMMYFUNCTION("""COMPUTED_VALUE"""),21)</f>
        <v>21</v>
      </c>
      <c r="O70" t="str">
        <f ca="1">IFERROR(__xludf.DUMMYFUNCTION("""COMPUTED_VALUE"""),"ATH")</f>
        <v>ATH</v>
      </c>
      <c r="P70">
        <f ca="1">IFERROR(__xludf.DUMMYFUNCTION("""COMPUTED_VALUE"""),11)</f>
        <v>11</v>
      </c>
      <c r="Q70" t="str">
        <f ca="1">IFERROR(__xludf.DUMMYFUNCTION("""COMPUTED_VALUE"""),"")</f>
        <v/>
      </c>
    </row>
    <row r="71" spans="1:17" ht="15.75" customHeight="1">
      <c r="A71" t="str">
        <f ca="1">IFERROR(__xludf.DUMMYFUNCTION("""COMPUTED_VALUE"""),"Dudu")</f>
        <v>Dudu</v>
      </c>
      <c r="B71">
        <f ca="1">IFERROR(__xludf.DUMMYFUNCTION("""COMPUTED_VALUE"""),0)</f>
        <v>0</v>
      </c>
      <c r="C71">
        <f ca="1">IFERROR(__xludf.DUMMYFUNCTION("""COMPUTED_VALUE"""),0)</f>
        <v>0</v>
      </c>
      <c r="D71">
        <f ca="1">IFERROR(__xludf.DUMMYFUNCTION("""COMPUTED_VALUE"""),0)</f>
        <v>0</v>
      </c>
      <c r="E71">
        <f ca="1">IFERROR(__xludf.DUMMYFUNCTION("""COMPUTED_VALUE"""),0)</f>
        <v>0</v>
      </c>
      <c r="F71">
        <f ca="1">IFERROR(__xludf.DUMMYFUNCTION("""COMPUTED_VALUE"""),0)</f>
        <v>0</v>
      </c>
      <c r="G71">
        <f ca="1">IFERROR(__xludf.DUMMYFUNCTION("""COMPUTED_VALUE"""),0)</f>
        <v>0</v>
      </c>
      <c r="H71">
        <f ca="1">IFERROR(__xludf.DUMMYFUNCTION("""COMPUTED_VALUE"""),3)</f>
        <v>3</v>
      </c>
      <c r="I71">
        <f ca="1">IFERROR(__xludf.DUMMYFUNCTION("""COMPUTED_VALUE"""),6)</f>
        <v>6</v>
      </c>
      <c r="O71" t="str">
        <f ca="1">IFERROR(__xludf.DUMMYFUNCTION("""COMPUTED_VALUE"""),"ATP")</f>
        <v>ATP</v>
      </c>
      <c r="P71">
        <f ca="1">IFERROR(__xludf.DUMMYFUNCTION("""COMPUTED_VALUE"""),34)</f>
        <v>34</v>
      </c>
      <c r="Q71" t="str">
        <f ca="1">IFERROR(__xludf.DUMMYFUNCTION("""COMPUTED_VALUE"""),"")</f>
        <v/>
      </c>
    </row>
    <row r="72" spans="1:17" ht="15.75" customHeight="1">
      <c r="A72" t="str">
        <f ca="1">IFERROR(__xludf.DUMMYFUNCTION("""COMPUTED_VALUE"""),"Equ")</f>
        <v>Equ</v>
      </c>
      <c r="B72">
        <f ca="1">IFERROR(__xludf.DUMMYFUNCTION("""COMPUTED_VALUE"""),0)</f>
        <v>0</v>
      </c>
      <c r="C72">
        <f ca="1">IFERROR(__xludf.DUMMYFUNCTION("""COMPUTED_VALUE"""),0)</f>
        <v>0</v>
      </c>
      <c r="D72">
        <f ca="1">IFERROR(__xludf.DUMMYFUNCTION("""COMPUTED_VALUE"""),0)</f>
        <v>0</v>
      </c>
      <c r="E72">
        <f ca="1">IFERROR(__xludf.DUMMYFUNCTION("""COMPUTED_VALUE"""),0)</f>
        <v>0</v>
      </c>
      <c r="F72">
        <f ca="1">IFERROR(__xludf.DUMMYFUNCTION("""COMPUTED_VALUE"""),3)</f>
        <v>3</v>
      </c>
      <c r="G72">
        <f ca="1">IFERROR(__xludf.DUMMYFUNCTION("""COMPUTED_VALUE"""),0)</f>
        <v>0</v>
      </c>
      <c r="H72">
        <f ca="1">IFERROR(__xludf.DUMMYFUNCTION("""COMPUTED_VALUE"""),3)</f>
        <v>3</v>
      </c>
      <c r="I72">
        <f ca="1">IFERROR(__xludf.DUMMYFUNCTION("""COMPUTED_VALUE"""),9)</f>
        <v>9</v>
      </c>
      <c r="O72" t="str">
        <f ca="1">IFERROR(__xludf.DUMMYFUNCTION("""COMPUTED_VALUE"""),"WZL")</f>
        <v>WZL</v>
      </c>
      <c r="P72">
        <f ca="1">IFERROR(__xludf.DUMMYFUNCTION("""COMPUTED_VALUE"""),9)</f>
        <v>9</v>
      </c>
      <c r="Q72" t="str">
        <f ca="1">IFERROR(__xludf.DUMMYFUNCTION("""COMPUTED_VALUE"""),"")</f>
        <v/>
      </c>
    </row>
    <row r="73" spans="1:17" ht="15.75" customHeight="1">
      <c r="A73" t="str">
        <f ca="1">IFERROR(__xludf.DUMMYFUNCTION("""COMPUTED_VALUE"""),"")</f>
        <v/>
      </c>
      <c r="B73" t="str">
        <f ca="1">IFERROR(__xludf.DUMMYFUNCTION("""COMPUTED_VALUE"""),"")</f>
        <v/>
      </c>
      <c r="C73" t="str">
        <f ca="1">IFERROR(__xludf.DUMMYFUNCTION("""COMPUTED_VALUE"""),"")</f>
        <v/>
      </c>
      <c r="D73" t="str">
        <f ca="1">IFERROR(__xludf.DUMMYFUNCTION("""COMPUTED_VALUE"""),"")</f>
        <v/>
      </c>
      <c r="E73" t="str">
        <f ca="1">IFERROR(__xludf.DUMMYFUNCTION("""COMPUTED_VALUE"""),"")</f>
        <v/>
      </c>
      <c r="F73" t="str">
        <f ca="1">IFERROR(__xludf.DUMMYFUNCTION("""COMPUTED_VALUE"""),"")</f>
        <v/>
      </c>
      <c r="G73" t="str">
        <f ca="1">IFERROR(__xludf.DUMMYFUNCTION("""COMPUTED_VALUE"""),"")</f>
        <v/>
      </c>
      <c r="H73" t="str">
        <f ca="1">IFERROR(__xludf.DUMMYFUNCTION("""COMPUTED_VALUE"""),"")</f>
        <v/>
      </c>
      <c r="I73" t="str">
        <f ca="1">IFERROR(__xludf.DUMMYFUNCTION("""COMPUTED_VALUE"""),"")</f>
        <v/>
      </c>
      <c r="O73" t="str">
        <f ca="1">IFERROR(__xludf.DUMMYFUNCTION("""COMPUTED_VALUE"""),"WZP")</f>
        <v>WZP</v>
      </c>
      <c r="P73">
        <f ca="1">IFERROR(__xludf.DUMMYFUNCTION("""COMPUTED_VALUE"""),38)</f>
        <v>38</v>
      </c>
      <c r="Q73" t="str">
        <f ca="1">IFERROR(__xludf.DUMMYFUNCTION("""COMPUTED_VALUE"""),"")</f>
        <v/>
      </c>
    </row>
    <row r="74" spans="1:17" ht="15.75" customHeight="1">
      <c r="A74" t="str">
        <f ca="1">IFERROR(__xludf.DUMMYFUNCTION("""COMPUTED_VALUE"""),"")</f>
        <v/>
      </c>
      <c r="B74" t="str">
        <f ca="1">IFERROR(__xludf.DUMMYFUNCTION("""COMPUTED_VALUE"""),"")</f>
        <v/>
      </c>
      <c r="C74" t="str">
        <f ca="1">IFERROR(__xludf.DUMMYFUNCTION("""COMPUTED_VALUE"""),"")</f>
        <v/>
      </c>
      <c r="D74" t="str">
        <f ca="1">IFERROR(__xludf.DUMMYFUNCTION("""COMPUTED_VALUE"""),"")</f>
        <v/>
      </c>
      <c r="E74" t="str">
        <f ca="1">IFERROR(__xludf.DUMMYFUNCTION("""COMPUTED_VALUE"""),"")</f>
        <v/>
      </c>
      <c r="F74" t="str">
        <f ca="1">IFERROR(__xludf.DUMMYFUNCTION("""COMPUTED_VALUE"""),"")</f>
        <v/>
      </c>
      <c r="G74" t="str">
        <f ca="1">IFERROR(__xludf.DUMMYFUNCTION("""COMPUTED_VALUE"""),"")</f>
        <v/>
      </c>
      <c r="H74" t="str">
        <f ca="1">IFERROR(__xludf.DUMMYFUNCTION("""COMPUTED_VALUE"""),"")</f>
        <v/>
      </c>
      <c r="I74" t="str">
        <f ca="1">IFERROR(__xludf.DUMMYFUNCTION("""COMPUTED_VALUE"""),"")</f>
        <v/>
      </c>
      <c r="O74" t="str">
        <f ca="1">IFERROR(__xludf.DUMMYFUNCTION("""COMPUTED_VALUE"""),"Most OTH")</f>
        <v>Most OTH</v>
      </c>
      <c r="P74">
        <f ca="1">IFERROR(__xludf.DUMMYFUNCTION("""COMPUTED_VALUE"""),1)</f>
        <v>1</v>
      </c>
      <c r="Q74" s="42" t="str">
        <f ca="1">IFERROR(__xludf.DUMMYFUNCTION("""COMPUTED_VALUE"""),"Mthn06")</f>
        <v>Mthn06</v>
      </c>
    </row>
    <row r="75" spans="1:17" ht="15.75" customHeight="1">
      <c r="O75" t="str">
        <f ca="1">IFERROR(__xludf.DUMMYFUNCTION("""COMPUTED_VALUE"""),"Most BTH")</f>
        <v>Most BTH</v>
      </c>
      <c r="P75">
        <f ca="1">IFERROR(__xludf.DUMMYFUNCTION("""COMPUTED_VALUE"""),1)</f>
        <v>1</v>
      </c>
      <c r="Q75" s="42" t="str">
        <f ca="1">IFERROR(__xludf.DUMMYFUNCTION("""COMPUTED_VALUE"""),"Flume")</f>
        <v>Flume</v>
      </c>
    </row>
    <row r="76" spans="1:17" ht="15.75" customHeight="1">
      <c r="O76" t="str">
        <f ca="1">IFERROR(__xludf.DUMMYFUNCTION("""COMPUTED_VALUE"""),"Most TP")</f>
        <v>Most TP</v>
      </c>
      <c r="P76">
        <f ca="1">IFERROR(__xludf.DUMMYFUNCTION("""COMPUTED_VALUE"""),2)</f>
        <v>2</v>
      </c>
      <c r="Q76" s="42" t="str">
        <f ca="1">IFERROR(__xludf.DUMMYFUNCTION("""COMPUTED_VALUE"""),"Arqueiro")</f>
        <v>Arqueiro</v>
      </c>
    </row>
    <row r="77" spans="1:17" ht="15.75" customHeight="1">
      <c r="O77" t="str">
        <f ca="1">IFERROR(__xludf.DUMMYFUNCTION("""COMPUTED_VALUE"""),"Most ATH")</f>
        <v>Most ATH</v>
      </c>
      <c r="P77">
        <f ca="1">IFERROR(__xludf.DUMMYFUNCTION("""COMPUTED_VALUE"""),5)</f>
        <v>5</v>
      </c>
      <c r="Q77" s="42" t="str">
        <f ca="1">IFERROR(__xludf.DUMMYFUNCTION("""COMPUTED_VALUE"""),"Alemi")</f>
        <v>Alemi</v>
      </c>
    </row>
    <row r="78" spans="1:17" ht="15.75" customHeight="1">
      <c r="O78" t="str">
        <f ca="1">IFERROR(__xludf.DUMMYFUNCTION("""COMPUTED_VALUE"""),"Most ATP")</f>
        <v>Most ATP</v>
      </c>
      <c r="P78">
        <f ca="1">IFERROR(__xludf.DUMMYFUNCTION("""COMPUTED_VALUE"""),5)</f>
        <v>5</v>
      </c>
      <c r="Q78" s="42" t="str">
        <f ca="1">IFERROR(__xludf.DUMMYFUNCTION("""COMPUTED_VALUE"""),"Kikuli")</f>
        <v>Kikuli</v>
      </c>
    </row>
    <row r="79" spans="1:17" ht="15.75" customHeight="1">
      <c r="O79" t="str">
        <f ca="1">IFERROR(__xludf.DUMMYFUNCTION("""COMPUTED_VALUE"""),"Most WZL")</f>
        <v>Most WZL</v>
      </c>
      <c r="P79">
        <f ca="1">IFERROR(__xludf.DUMMYFUNCTION("""COMPUTED_VALUE"""),4)</f>
        <v>4</v>
      </c>
      <c r="Q79" s="42" t="str">
        <f ca="1">IFERROR(__xludf.DUMMYFUNCTION("""COMPUTED_VALUE"""),"Flume")</f>
        <v>Flume</v>
      </c>
    </row>
    <row r="80" spans="1:17" ht="15.75" customHeight="1">
      <c r="O80" t="str">
        <f ca="1">IFERROR(__xludf.DUMMYFUNCTION("""COMPUTED_VALUE"""),"Most WZP")</f>
        <v>Most WZP</v>
      </c>
      <c r="P80">
        <f ca="1">IFERROR(__xludf.DUMMYFUNCTION("""COMPUTED_VALUE"""),6)</f>
        <v>6</v>
      </c>
      <c r="Q80" s="42" t="str">
        <f ca="1">IFERROR(__xludf.DUMMYFUNCTION("""COMPUTED_VALUE"""),"Belal")</f>
        <v>Belal</v>
      </c>
    </row>
    <row r="81" spans="1:18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</row>
    <row r="82" spans="1:18">
      <c r="A82" s="39" t="s">
        <v>57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59"/>
    </row>
    <row r="83" spans="1:18">
      <c r="A83" t="str">
        <f ca="1">IFERROR(__xludf.DUMMYFUNCTION("IMPORTRANGE(""1lMt3nQQU9-Fl5Lq0UNTVd8Ms2c0QCOv_Hbxb9eXEgM8"", ""A1005:I1025"")"),"#REF!")</f>
        <v>#REF!</v>
      </c>
      <c r="O83" s="60" t="str">
        <f ca="1">IFERROR(__xludf.DUMMYFUNCTION("IMPORTRANGE(""1lMt3nQQU9-Fl5Lq0UNTVd8Ms2c0QCOv_Hbxb9eXEgM8"", ""A949:C973"")"),"#REF!")</f>
        <v>#REF!</v>
      </c>
    </row>
    <row r="109" spans="1:18">
      <c r="A109" s="61" t="s">
        <v>58</v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ht="15.75" customHeight="1">
      <c r="A110" s="53" t="str">
        <f ca="1">IFERROR(__xludf.DUMMYFUNCTION("IMPORTRANGE(""1OMJ8YzbasJpfaNqjKs8-75nt96eGdabMKoAyjUOxjj4"", ""A1005:I1025"")"),"#REF!")</f>
        <v>#REF!</v>
      </c>
      <c r="O110" t="str">
        <f ca="1">IFERROR(__xludf.DUMMYFUNCTION("IMPORTRANGE(""1OMJ8YzbasJpfaNqjKs8-75nt96eGdabMKoAyjUOxjj4"", ""A949:B973"")"),"#REF!")</f>
        <v>#REF!</v>
      </c>
    </row>
    <row r="112" spans="1:18" ht="15.75" customHeight="1">
      <c r="Q112" s="19" t="s">
        <v>59</v>
      </c>
    </row>
    <row r="136" spans="1:18">
      <c r="A136" s="61" t="s">
        <v>60</v>
      </c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ht="15.75" customHeight="1">
      <c r="A137" s="53" t="str">
        <f ca="1">IFERROR(__xludf.DUMMYFUNCTION("IMPORTRANGE(""1H_YrV15YTPnF9WgYjLO9ItpYzAlYCFDgSXIA48kKAaQ"", ""A1005:I1025"")"),"#REF!")</f>
        <v>#REF!</v>
      </c>
      <c r="O137" s="53" t="str">
        <f ca="1">IFERROR(__xludf.DUMMYFUNCTION("IMPORTRANGE(""1H_YrV15YTPnF9WgYjLO9ItpYzAlYCFDgSXIA48kKAaQ"", ""A949:B973"")"),"#REF!")</f>
        <v>#REF!</v>
      </c>
    </row>
    <row r="163" spans="1:18">
      <c r="A163" s="61" t="s">
        <v>61</v>
      </c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1:18" ht="15.75" customHeight="1">
      <c r="A164" s="53" t="str">
        <f ca="1">IFERROR(__xludf.DUMMYFUNCTION("IMPORTRANGE(""1p1nAYQ-4qsKtlSrO-hsaySgkx1e0fEycXCh9in0vQB0"", ""A1005:I1025"")"),"#REF!")</f>
        <v>#REF!</v>
      </c>
      <c r="O164" s="53" t="str">
        <f ca="1">IFERROR(__xludf.DUMMYFUNCTION("IMPORTRANGE(""1p1nAYQ-4qsKtlSrO-hsaySgkx1e0fEycXCh9in0vQB0"", ""A949:B973"")"),"#REF!")</f>
        <v>#REF!</v>
      </c>
    </row>
    <row r="189" spans="1:18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39" t="s">
        <v>62</v>
      </c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1:18" ht="15.75" customHeight="1">
      <c r="A191" s="53" t="str">
        <f ca="1">IFERROR(__xludf.DUMMYFUNCTION("IMPORTRANGE(""16pDQ_lJSCwFcA8vJ_seqJ0Zwvw_bJFrM5HwIWz9I2wE"", ""A1005:I1025"")"),"#REF!")</f>
        <v>#REF!</v>
      </c>
      <c r="O191" s="53" t="str">
        <f ca="1">IFERROR(__xludf.DUMMYFUNCTION("IMPORTRANGE(""16pDQ_lJSCwFcA8vJ_seqJ0Zwvw_bJFrM5HwIWz9I2wE"", ""A949:B973"")"),"#REF!")</f>
        <v>#REF!</v>
      </c>
    </row>
    <row r="217" spans="1:18">
      <c r="A217" s="61" t="s">
        <v>63</v>
      </c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</row>
    <row r="218" spans="1:18" ht="15.75" customHeight="1">
      <c r="A218" s="53" t="str">
        <f ca="1">IFERROR(__xludf.DUMMYFUNCTION("IMPORTRANGE(""1nP2jsv136mLn-oeZQU7sbzFBQzK-OOMYD7PDa7gBsMQ"", ""A1005:I1025"")"),"#REF!")</f>
        <v>#REF!</v>
      </c>
      <c r="O218" s="53" t="str">
        <f ca="1">IFERROR(__xludf.DUMMYFUNCTION("IMPORTRANGE(""1nP2jsv136mLn-oeZQU7sbzFBQzK-OOMYD7PDa7gBsMQ"", ""A949:B973"")"),"#REF!")</f>
        <v>#REF!</v>
      </c>
    </row>
    <row r="244" spans="1:18">
      <c r="A244" s="61" t="s">
        <v>64</v>
      </c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</row>
    <row r="245" spans="1:18" ht="15.75" customHeight="1">
      <c r="A245" s="63" t="str">
        <f ca="1">IFERROR(__xludf.DUMMYFUNCTION("IMPORTRANGE(""1Gb_N-Ljmp9KhKsgxMqtiFMTDDp-2wCjs3FVmNhIt80w"", ""A1005:I1025"")"),"#REF!")</f>
        <v>#REF!</v>
      </c>
      <c r="O245" t="str">
        <f ca="1">IFERROR(__xludf.DUMMYFUNCTION("IMPORTRANGE(""1Gb_N-Ljmp9KhKsgxMqtiFMTDDp-2wCjs3FVmNhIt80w"", ""A949:B973"")"),"#REF!")</f>
        <v>#REF!</v>
      </c>
    </row>
    <row r="271" spans="1:18">
      <c r="A271" s="61" t="s">
        <v>65</v>
      </c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</row>
    <row r="272" spans="1:18" ht="15.75" customHeight="1">
      <c r="A272" s="63" t="str">
        <f ca="1">IFERROR(__xludf.DUMMYFUNCTION("IMPORTRANGE(""1BZxmz1AEkpKEythZaGg0XYn3nDvafn7iXA3qY_P4VvE"", ""A1005:I1025"")"),"#REF!")</f>
        <v>#REF!</v>
      </c>
      <c r="O272" t="str">
        <f ca="1">IFERROR(__xludf.DUMMYFUNCTION("IMPORTRANGE(""1BZxmz1AEkpKEythZaGg0XYn3nDvafn7iXA3qY_P4VvE"", ""A949:B973"")"),"#REF!")</f>
        <v>#REF!</v>
      </c>
    </row>
    <row r="298" spans="1:18">
      <c r="A298" s="61" t="s">
        <v>66</v>
      </c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1:18" ht="15.75" customHeight="1">
      <c r="A299" s="63" t="str">
        <f ca="1">IFERROR(__xludf.DUMMYFUNCTION("IMPORTRANGE(""12b_yUa0-I6HHhG7oTZ0PyrlLWFPxicnsXO12PKC8C1E"", ""A1005:I1025"")"),"#REF!")</f>
        <v>#REF!</v>
      </c>
      <c r="O299" t="str">
        <f ca="1">IFERROR(__xludf.DUMMYFUNCTION("IMPORTRANGE(""12b_yUa0-I6HHhG7oTZ0PyrlLWFPxicnsXO12PKC8C1E"", ""A949:B973"")"),"#REF!")</f>
        <v>#REF!</v>
      </c>
    </row>
    <row r="325" spans="1:18">
      <c r="A325" s="61" t="s">
        <v>67</v>
      </c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</row>
    <row r="326" spans="1:18" ht="15.75" customHeight="1">
      <c r="A326" s="63" t="str">
        <f ca="1">IFERROR(__xludf.DUMMYFUNCTION("IMPORTRANGE(""1tfmalVW4HLGG5lMS0E5TlNeHj_vwoirNRWEc3owTDmA"", ""A1005:I1025"")"),"#REF!")</f>
        <v>#REF!</v>
      </c>
      <c r="O326" t="str">
        <f ca="1">IFERROR(__xludf.DUMMYFUNCTION("IMPORTRANGE(""1tfmalVW4HLGG5lMS0E5TlNeHj_vwoirNRWEc3owTDmA"", ""A949:B973"")"),"#REF!")</f>
        <v>#REF!</v>
      </c>
    </row>
    <row r="352" spans="1:18">
      <c r="A352" s="61" t="s">
        <v>68</v>
      </c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</row>
    <row r="353" spans="1:15" ht="15.75" customHeight="1">
      <c r="A353" s="63" t="str">
        <f ca="1">IFERROR(__xludf.DUMMYFUNCTION("IMPORTRANGE(""1UZYPvBna6K8tmFJ7Ldzo-QjDSe1JUdrCnhVJsGtUt5M"", ""A1005:I1025"")"),"#REF!")</f>
        <v>#REF!</v>
      </c>
      <c r="O353" t="str">
        <f ca="1">IFERROR(__xludf.DUMMYFUNCTION("IMPORTRANGE(""1UZYPvBna6K8tmFJ7Ldzo-QjDSe1JUdrCnhVJsGtUt5M"", ""A949:B973"")"),"#REF!")</f>
        <v>#REF!</v>
      </c>
    </row>
    <row r="984" spans="3:7" ht="15.75" customHeight="1">
      <c r="D984" s="64" t="s">
        <v>69</v>
      </c>
      <c r="E984" s="40"/>
    </row>
    <row r="985" spans="3:7">
      <c r="C985" s="1"/>
      <c r="D985" s="65" t="s">
        <v>70</v>
      </c>
      <c r="E985" s="66"/>
      <c r="F985" s="15"/>
      <c r="G985" s="15"/>
    </row>
    <row r="986" spans="3:7" ht="15.75" customHeight="1">
      <c r="C986" s="67" t="s">
        <v>71</v>
      </c>
      <c r="D986">
        <f ca="1">P3</f>
        <v>11.058823529411701</v>
      </c>
    </row>
    <row r="987" spans="3:7" ht="15.75" customHeight="1">
      <c r="C987" s="67" t="s">
        <v>72</v>
      </c>
      <c r="D987">
        <f>P30</f>
        <v>0</v>
      </c>
    </row>
    <row r="988" spans="3:7" ht="15.75" customHeight="1">
      <c r="C988" s="67" t="s">
        <v>73</v>
      </c>
      <c r="D988">
        <f ca="1">P57</f>
        <v>10.96875</v>
      </c>
    </row>
    <row r="989" spans="3:7" ht="15.75" customHeight="1">
      <c r="C989" s="67" t="s">
        <v>74</v>
      </c>
      <c r="D989">
        <f>P84</f>
        <v>0</v>
      </c>
    </row>
    <row r="990" spans="3:7" ht="15.75" customHeight="1">
      <c r="C990" s="67" t="s">
        <v>75</v>
      </c>
      <c r="D990">
        <f>P111</f>
        <v>0</v>
      </c>
    </row>
    <row r="991" spans="3:7" ht="15.75" customHeight="1">
      <c r="C991" s="67" t="s">
        <v>76</v>
      </c>
      <c r="D991">
        <f>P138</f>
        <v>0</v>
      </c>
    </row>
    <row r="992" spans="3:7" ht="15.75" customHeight="1">
      <c r="C992" s="67" t="s">
        <v>77</v>
      </c>
      <c r="D992">
        <f>P165</f>
        <v>0</v>
      </c>
    </row>
    <row r="993" spans="3:4" ht="15.75" customHeight="1">
      <c r="C993" s="68" t="s">
        <v>78</v>
      </c>
      <c r="D993" s="69">
        <f>P192</f>
        <v>0</v>
      </c>
    </row>
    <row r="994" spans="3:4" ht="15.75" customHeight="1">
      <c r="C994" s="68" t="s">
        <v>79</v>
      </c>
      <c r="D994" s="69">
        <f>P219</f>
        <v>0</v>
      </c>
    </row>
    <row r="995" spans="3:4" ht="15.75" customHeight="1">
      <c r="C995" s="68" t="s">
        <v>80</v>
      </c>
      <c r="D995" s="69">
        <f>P246</f>
        <v>0</v>
      </c>
    </row>
    <row r="996" spans="3:4" ht="15.75" customHeight="1">
      <c r="C996" s="68" t="s">
        <v>81</v>
      </c>
      <c r="D996" s="69">
        <f>P273</f>
        <v>0</v>
      </c>
    </row>
    <row r="997" spans="3:4" ht="15.75" customHeight="1">
      <c r="C997" s="68" t="s">
        <v>82</v>
      </c>
      <c r="D997" s="69">
        <f>P300</f>
        <v>0</v>
      </c>
    </row>
    <row r="998" spans="3:4" ht="15.75" customHeight="1">
      <c r="C998" s="68" t="s">
        <v>83</v>
      </c>
      <c r="D998" s="69">
        <f>P327</f>
        <v>0</v>
      </c>
    </row>
    <row r="999" spans="3:4" ht="15.75" customHeight="1">
      <c r="C999" s="68" t="s">
        <v>84</v>
      </c>
      <c r="D999" s="69">
        <f>P354</f>
        <v>0</v>
      </c>
    </row>
  </sheetData>
  <mergeCells count="2">
    <mergeCell ref="A28:C28"/>
    <mergeCell ref="A55:C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Evaluation layout</vt:lpstr>
      <vt:lpstr>Evaluation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2019-03-24T10:11:35Z</dcterms:created>
  <dcterms:modified xsi:type="dcterms:W3CDTF">2019-03-24T10:11:36Z</dcterms:modified>
</cp:coreProperties>
</file>