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H1029" i="1"/>
  <c r="F1029"/>
  <c r="D1029"/>
  <c r="B1029"/>
  <c r="A1029"/>
  <c r="I1029" s="1"/>
  <c r="A1028"/>
  <c r="I1028" s="1"/>
  <c r="H1027"/>
  <c r="F1027"/>
  <c r="D1027"/>
  <c r="B1027"/>
  <c r="A1027"/>
  <c r="I1027" s="1"/>
  <c r="A1026"/>
  <c r="I1026" s="1"/>
  <c r="H1025"/>
  <c r="F1025"/>
  <c r="D1025"/>
  <c r="B1025"/>
  <c r="A1025"/>
  <c r="I1025" s="1"/>
  <c r="A1024"/>
  <c r="I1024" s="1"/>
  <c r="H1023"/>
  <c r="F1023"/>
  <c r="D1023"/>
  <c r="B1023"/>
  <c r="A1023"/>
  <c r="I1023" s="1"/>
  <c r="A1022"/>
  <c r="I1022" s="1"/>
  <c r="H1021"/>
  <c r="F1021"/>
  <c r="D1021"/>
  <c r="B1021"/>
  <c r="A1021"/>
  <c r="I1021" s="1"/>
  <c r="A1020"/>
  <c r="I1020" s="1"/>
  <c r="H1019"/>
  <c r="F1019"/>
  <c r="D1019"/>
  <c r="B1019"/>
  <c r="A1019"/>
  <c r="I1019" s="1"/>
  <c r="A1018"/>
  <c r="I1018" s="1"/>
  <c r="H1017"/>
  <c r="F1017"/>
  <c r="D1017"/>
  <c r="B1017"/>
  <c r="A1017"/>
  <c r="I1017" s="1"/>
  <c r="A1016"/>
  <c r="I1016" s="1"/>
  <c r="H1015"/>
  <c r="F1015"/>
  <c r="D1015"/>
  <c r="B1015"/>
  <c r="A1015"/>
  <c r="I1015" s="1"/>
  <c r="H1014"/>
  <c r="G1014"/>
  <c r="F1014"/>
  <c r="E1014"/>
  <c r="D1014"/>
  <c r="C1014"/>
  <c r="B1014"/>
  <c r="A1014"/>
  <c r="G1013" s="1"/>
  <c r="H1013"/>
  <c r="F1013"/>
  <c r="D1013"/>
  <c r="B1013"/>
  <c r="A1013"/>
  <c r="I1013" s="1"/>
  <c r="A1012"/>
  <c r="I1012" s="1"/>
  <c r="H1011"/>
  <c r="F1011"/>
  <c r="D1011"/>
  <c r="B1011"/>
  <c r="A1011"/>
  <c r="I1011" s="1"/>
  <c r="A1010"/>
  <c r="I1010" s="1"/>
  <c r="H1009"/>
  <c r="F1009"/>
  <c r="D1009"/>
  <c r="B1009"/>
  <c r="A1009"/>
  <c r="I1009" s="1"/>
  <c r="A1008"/>
  <c r="C1008" s="1"/>
  <c r="H1007"/>
  <c r="F1007"/>
  <c r="D1007"/>
  <c r="B1007"/>
  <c r="A1007"/>
  <c r="I1007" s="1"/>
  <c r="A1006"/>
  <c r="I1006" s="1"/>
  <c r="A992"/>
  <c r="C973"/>
  <c r="B973"/>
  <c r="C972"/>
  <c r="B972"/>
  <c r="C971"/>
  <c r="B971"/>
  <c r="C970"/>
  <c r="B970"/>
  <c r="C969"/>
  <c r="B969"/>
  <c r="C968"/>
  <c r="B968"/>
  <c r="C967"/>
  <c r="B967"/>
  <c r="B966"/>
  <c r="B965"/>
  <c r="B964"/>
  <c r="B963"/>
  <c r="B962"/>
  <c r="B961"/>
  <c r="B960"/>
  <c r="W95"/>
  <c r="W101" s="1"/>
  <c r="S95"/>
  <c r="S101" s="1"/>
  <c r="O95"/>
  <c r="O101" s="1"/>
  <c r="K95"/>
  <c r="K101" s="1"/>
  <c r="G95"/>
  <c r="G101" s="1"/>
  <c r="C95"/>
  <c r="C101" s="1"/>
  <c r="W72"/>
  <c r="W78" s="1"/>
  <c r="S72"/>
  <c r="S78" s="1"/>
  <c r="O72"/>
  <c r="O78" s="1"/>
  <c r="K72"/>
  <c r="K78" s="1"/>
  <c r="G72"/>
  <c r="G78" s="1"/>
  <c r="C72"/>
  <c r="C78" s="1"/>
  <c r="W49"/>
  <c r="W55" s="1"/>
  <c r="S49"/>
  <c r="S55" s="1"/>
  <c r="O49"/>
  <c r="O55" s="1"/>
  <c r="K49"/>
  <c r="K55" s="1"/>
  <c r="G49"/>
  <c r="G55" s="1"/>
  <c r="C49"/>
  <c r="C55" s="1"/>
  <c r="W26"/>
  <c r="W32" s="1"/>
  <c r="S26"/>
  <c r="S32" s="1"/>
  <c r="O26"/>
  <c r="O32" s="1"/>
  <c r="K26"/>
  <c r="K32" s="1"/>
  <c r="G26"/>
  <c r="G32" s="1"/>
  <c r="C26"/>
  <c r="C32" s="1"/>
  <c r="A108"/>
  <c r="S87"/>
  <c r="K87"/>
  <c r="C87"/>
  <c r="K86"/>
  <c r="C86"/>
  <c r="K84"/>
  <c r="K61"/>
  <c r="S41"/>
  <c r="K41"/>
  <c r="C41"/>
  <c r="S40"/>
  <c r="K40"/>
  <c r="K38"/>
  <c r="S18"/>
  <c r="S15"/>
  <c r="C15"/>
  <c r="B108"/>
  <c r="W87"/>
  <c r="O87"/>
  <c r="G87"/>
  <c r="W86"/>
  <c r="O86"/>
  <c r="G86"/>
  <c r="W84"/>
  <c r="O84"/>
  <c r="G84"/>
  <c r="W64"/>
  <c r="O64"/>
  <c r="G64"/>
  <c r="W63"/>
  <c r="O63"/>
  <c r="G63"/>
  <c r="W61"/>
  <c r="O61"/>
  <c r="G61"/>
  <c r="W41"/>
  <c r="O41"/>
  <c r="G41"/>
  <c r="W40"/>
  <c r="O40"/>
  <c r="G40"/>
  <c r="W38"/>
  <c r="O38"/>
  <c r="G38"/>
  <c r="W18"/>
  <c r="O18"/>
  <c r="G18"/>
  <c r="W17"/>
  <c r="O17"/>
  <c r="G17"/>
  <c r="W15"/>
  <c r="O15"/>
  <c r="G15"/>
  <c r="S86"/>
  <c r="S84"/>
  <c r="C84"/>
  <c r="S64"/>
  <c r="K64"/>
  <c r="C64"/>
  <c r="S63"/>
  <c r="K63"/>
  <c r="C63"/>
  <c r="S61"/>
  <c r="C61"/>
  <c r="C40"/>
  <c r="S38"/>
  <c r="C38"/>
  <c r="K18"/>
  <c r="C18"/>
  <c r="S17"/>
  <c r="K17"/>
  <c r="C17"/>
  <c r="K15"/>
  <c r="K16" l="1"/>
  <c r="C39"/>
  <c r="S39"/>
  <c r="C62"/>
  <c r="S62"/>
  <c r="C85"/>
  <c r="S85"/>
  <c r="G16"/>
  <c r="O16"/>
  <c r="W16"/>
  <c r="G39"/>
  <c r="O39"/>
  <c r="W39"/>
  <c r="G62"/>
  <c r="O62"/>
  <c r="W62"/>
  <c r="G85"/>
  <c r="O85"/>
  <c r="W85"/>
  <c r="C16"/>
  <c r="S16"/>
  <c r="K39"/>
  <c r="K62"/>
  <c r="K85"/>
  <c r="B950"/>
  <c r="C1006"/>
  <c r="E1008"/>
  <c r="G1008"/>
  <c r="I1008"/>
  <c r="C1010"/>
  <c r="G1010"/>
  <c r="I1014"/>
  <c r="B951"/>
  <c r="C951" s="1"/>
  <c r="B952"/>
  <c r="B1006"/>
  <c r="D1006"/>
  <c r="F1006"/>
  <c r="H1006"/>
  <c r="C1007"/>
  <c r="E1007"/>
  <c r="G1007"/>
  <c r="B1008"/>
  <c r="D1008"/>
  <c r="F1008"/>
  <c r="H1008"/>
  <c r="C1009"/>
  <c r="E1009"/>
  <c r="G1009"/>
  <c r="B1010"/>
  <c r="D1010"/>
  <c r="F1010"/>
  <c r="H1010"/>
  <c r="C1011"/>
  <c r="E1011"/>
  <c r="G1011"/>
  <c r="B1012"/>
  <c r="D1012"/>
  <c r="F1012"/>
  <c r="H1012"/>
  <c r="C1013"/>
  <c r="E1013"/>
  <c r="C1015"/>
  <c r="E1015"/>
  <c r="G1015"/>
  <c r="B1016"/>
  <c r="D1016"/>
  <c r="F1016"/>
  <c r="H1016"/>
  <c r="C1017"/>
  <c r="E1017"/>
  <c r="G1017"/>
  <c r="B1018"/>
  <c r="D1018"/>
  <c r="F1018"/>
  <c r="H1018"/>
  <c r="C1019"/>
  <c r="E1019"/>
  <c r="G1019"/>
  <c r="B1020"/>
  <c r="D1020"/>
  <c r="F1020"/>
  <c r="H1020"/>
  <c r="C1021"/>
  <c r="E1021"/>
  <c r="G1021"/>
  <c r="B1022"/>
  <c r="D1022"/>
  <c r="F1022"/>
  <c r="H1022"/>
  <c r="C1023"/>
  <c r="E1023"/>
  <c r="G1023"/>
  <c r="B1024"/>
  <c r="D1024"/>
  <c r="F1024"/>
  <c r="H1024"/>
  <c r="C1025"/>
  <c r="E1025"/>
  <c r="G1025"/>
  <c r="B1026"/>
  <c r="D1026"/>
  <c r="F1026"/>
  <c r="H1026"/>
  <c r="C1027"/>
  <c r="E1027"/>
  <c r="G1027"/>
  <c r="B1028"/>
  <c r="D1028"/>
  <c r="F1028"/>
  <c r="H1028"/>
  <c r="C1029"/>
  <c r="E1029"/>
  <c r="G1029"/>
  <c r="E1006"/>
  <c r="G1006"/>
  <c r="E1010"/>
  <c r="C1012"/>
  <c r="E1012"/>
  <c r="G1012"/>
  <c r="C1016"/>
  <c r="E1016"/>
  <c r="G1016"/>
  <c r="C1018"/>
  <c r="E1018"/>
  <c r="G1018"/>
  <c r="C1020"/>
  <c r="E1020"/>
  <c r="G1020"/>
  <c r="C1022"/>
  <c r="E1022"/>
  <c r="G1022"/>
  <c r="C1024"/>
  <c r="E1024"/>
  <c r="G1024"/>
  <c r="C1026"/>
  <c r="E1026"/>
  <c r="G1026"/>
  <c r="C1028"/>
  <c r="E1028"/>
  <c r="G1028"/>
</calcChain>
</file>

<file path=xl/sharedStrings.xml><?xml version="1.0" encoding="utf-8"?>
<sst xmlns="http://schemas.openxmlformats.org/spreadsheetml/2006/main" count="775" uniqueCount="145">
  <si>
    <t>Squadron name: 57.Piyade Alayı</t>
  </si>
  <si>
    <t>Squadron name: Patriots</t>
  </si>
  <si>
    <t>Squadron name:</t>
  </si>
  <si>
    <t>Squadron name: 501st Legion</t>
  </si>
  <si>
    <t>Squadron name: Retarders</t>
  </si>
  <si>
    <t>Squadron leader: WO-Kadir</t>
  </si>
  <si>
    <t>Squadron leader: MSG-Aerion</t>
  </si>
  <si>
    <t>Squadron leader: SSG-Elrond</t>
  </si>
  <si>
    <t>Squadron leader: SSG-Ninja</t>
  </si>
  <si>
    <t>Squadron leader: SGT-Jutsku</t>
  </si>
  <si>
    <t>Squadron leader: SGT-Rabeez</t>
  </si>
  <si>
    <t>Squadron members:</t>
  </si>
  <si>
    <t>HQ cl check</t>
  </si>
  <si>
    <t>CPL-Titan</t>
  </si>
  <si>
    <t>PFC-Flume</t>
  </si>
  <si>
    <t>PVT-Skyline</t>
  </si>
  <si>
    <t>BCS-Albino</t>
  </si>
  <si>
    <t>BCS-Juba</t>
  </si>
  <si>
    <t>BCS-sUfOtsaLehT</t>
  </si>
  <si>
    <t>CPL-Alemi</t>
  </si>
  <si>
    <t>PFC-Filip</t>
  </si>
  <si>
    <t>PVT-Dudu</t>
  </si>
  <si>
    <t>BCS-Belal</t>
  </si>
  <si>
    <t>BCS-Shady</t>
  </si>
  <si>
    <t>BCS-SalgaG</t>
  </si>
  <si>
    <t>CPL-Arqueiro</t>
  </si>
  <si>
    <t>PVT-Harlem</t>
  </si>
  <si>
    <t>BCS-Rexolen</t>
  </si>
  <si>
    <t>BCS-Hamasa</t>
  </si>
  <si>
    <t>BCS-Eric</t>
  </si>
  <si>
    <t>CPL-Jesmonde</t>
  </si>
  <si>
    <t>BCS-Schreiber</t>
  </si>
  <si>
    <t>BCS-Stora</t>
  </si>
  <si>
    <t>Soldier</t>
  </si>
  <si>
    <t>Titan</t>
  </si>
  <si>
    <t>Flume</t>
  </si>
  <si>
    <t>Skyline</t>
  </si>
  <si>
    <t>Albino</t>
  </si>
  <si>
    <t>Juba</t>
  </si>
  <si>
    <t>sUfOtsaLehT</t>
  </si>
  <si>
    <t>Soldier rank</t>
  </si>
  <si>
    <t>Corporal</t>
  </si>
  <si>
    <t>Private First Class</t>
  </si>
  <si>
    <t>Private</t>
  </si>
  <si>
    <t>Boot Camp Student</t>
  </si>
  <si>
    <t>Contract start</t>
  </si>
  <si>
    <t>Weeks with rank</t>
  </si>
  <si>
    <t>Pos. recommendations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</si>
  <si>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</si>
  <si>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</si>
  <si>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</si>
  <si>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</si>
  <si>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</si>
  <si>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</si>
  <si>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</si>
  <si>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</si>
  <si>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</si>
  <si>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 in chats</t>
  </si>
  <si>
    <t>good</t>
  </si>
  <si>
    <t>Good</t>
  </si>
  <si>
    <t>Behavior in trainings</t>
  </si>
  <si>
    <t>Behavior in other activities</t>
  </si>
  <si>
    <t>Overall behavior</t>
  </si>
  <si>
    <t>Ready for promotion</t>
  </si>
  <si>
    <t>No</t>
  </si>
  <si>
    <t>Yes</t>
  </si>
  <si>
    <t>Week rate (positive/negative)</t>
  </si>
  <si>
    <t>Any extra information</t>
  </si>
  <si>
    <t>Hitler bless him</t>
  </si>
  <si>
    <t>Alemi</t>
  </si>
  <si>
    <t>Filip</t>
  </si>
  <si>
    <t>Dudu</t>
  </si>
  <si>
    <t>Belal</t>
  </si>
  <si>
    <t>Shady</t>
  </si>
  <si>
    <t>SalgaG</t>
  </si>
  <si>
    <t>YES, SEY</t>
  </si>
  <si>
    <t>Arqueiro</t>
  </si>
  <si>
    <t>N/A</t>
  </si>
  <si>
    <t>Harlem</t>
  </si>
  <si>
    <t>Rexolen</t>
  </si>
  <si>
    <t>Hamasa</t>
  </si>
  <si>
    <t>Eric</t>
  </si>
  <si>
    <t>No lifer rank has been reached</t>
  </si>
  <si>
    <t>Jesmonde</t>
  </si>
  <si>
    <t>Schreiber</t>
  </si>
  <si>
    <t>Stora</t>
  </si>
  <si>
    <t>Not that good</t>
  </si>
  <si>
    <t>Has to be serious</t>
  </si>
  <si>
    <t xml:space="preserve">NO 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</si>
  <si>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</si>
  <si>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</si>
  <si>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</si>
  <si>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</si>
  <si>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</si>
  <si>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</si>
  <si>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</si>
  <si>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</si>
  <si>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</si>
  <si>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</si>
  <si>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</si>
  <si>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</si>
  <si>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</si>
  <si>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</si>
  <si>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Average points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</si>
  <si>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</si>
  <si>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</si>
  <si>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</si>
  <si>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</si>
  <si>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</si>
  <si>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</si>
  <si>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</si>
  <si>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</si>
  <si>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</si>
  <si>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</si>
  <si>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</si>
  <si>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</si>
  <si>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</si>
  <si>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</si>
  <si>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</si>
  <si>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</si>
  <si>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</si>
  <si>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</si>
  <si>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</si>
  <si>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</si>
  <si>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</si>
  <si>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</si>
  <si>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</si>
  <si>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</si>
  <si>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</si>
  <si>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</si>
  <si>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</si>
  <si>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</si>
  <si>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</si>
  <si>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</si>
  <si>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</si>
  <si>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</si>
  <si>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Original trainings hosted = 4 points</t>
  </si>
  <si>
    <t>Basic trainings hosted = 2 points</t>
  </si>
  <si>
    <t>Trainings participated = 1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</si>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</sst>
</file>

<file path=xl/styles.xml><?xml version="1.0" encoding="utf-8"?>
<styleSheet xmlns="http://schemas.openxmlformats.org/spreadsheetml/2006/main">
  <numFmts count="3">
    <numFmt numFmtId="164" formatCode="dd\.mm\.yyyy"/>
    <numFmt numFmtId="165" formatCode="d/m/yyyy"/>
    <numFmt numFmtId="166" formatCode="dd/mm/yy"/>
  </numFmts>
  <fonts count="19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4"/>
      <name val="Arial"/>
    </font>
    <font>
      <sz val="14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b/>
      <sz val="11"/>
      <name val="Arial"/>
    </font>
    <font>
      <b/>
      <sz val="11"/>
      <color rgb="FF000000"/>
      <name val="Arial"/>
    </font>
    <font>
      <b/>
      <sz val="10"/>
      <name val="Arial"/>
    </font>
    <font>
      <sz val="10"/>
      <color rgb="FF242729"/>
      <name val="Consolas"/>
    </font>
    <font>
      <b/>
      <sz val="11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04">
    <xf numFmtId="0" fontId="0" fillId="0" borderId="0" xfId="0" applyFont="1" applyAlignment="1"/>
    <xf numFmtId="0" fontId="2" fillId="0" borderId="1" xfId="0" applyFont="1" applyBorder="1"/>
    <xf numFmtId="0" fontId="5" fillId="0" borderId="0" xfId="0" applyFont="1" applyAlignment="1"/>
    <xf numFmtId="0" fontId="5" fillId="0" borderId="1" xfId="0" applyFont="1" applyBorder="1" applyAlignment="1"/>
    <xf numFmtId="0" fontId="5" fillId="0" borderId="2" xfId="0" applyFont="1" applyBorder="1" applyAlignment="1"/>
    <xf numFmtId="0" fontId="6" fillId="0" borderId="0" xfId="0" applyFont="1" applyAlignment="1"/>
    <xf numFmtId="0" fontId="5" fillId="3" borderId="0" xfId="0" applyFont="1" applyFill="1" applyAlignment="1"/>
    <xf numFmtId="0" fontId="5" fillId="3" borderId="0" xfId="0" applyFont="1" applyFill="1" applyAlignment="1"/>
    <xf numFmtId="0" fontId="5" fillId="3" borderId="1" xfId="0" applyFont="1" applyFill="1" applyBorder="1" applyAlignment="1"/>
    <xf numFmtId="0" fontId="5" fillId="3" borderId="3" xfId="0" applyFont="1" applyFill="1" applyBorder="1" applyAlignment="1"/>
    <xf numFmtId="0" fontId="5" fillId="0" borderId="0" xfId="0" applyFont="1" applyAlignment="1"/>
    <xf numFmtId="164" fontId="6" fillId="0" borderId="0" xfId="0" applyNumberFormat="1" applyFont="1" applyAlignment="1"/>
    <xf numFmtId="0" fontId="6" fillId="2" borderId="0" xfId="0" applyFont="1" applyFill="1" applyAlignment="1"/>
    <xf numFmtId="0" fontId="7" fillId="0" borderId="0" xfId="0" applyFont="1" applyAlignment="1"/>
    <xf numFmtId="0" fontId="8" fillId="2" borderId="2" xfId="0" applyFont="1" applyFill="1" applyBorder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8" fillId="2" borderId="0" xfId="0" applyFont="1" applyFill="1" applyAlignment="1"/>
    <xf numFmtId="0" fontId="6" fillId="0" borderId="2" xfId="0" applyFont="1" applyBorder="1" applyAlignment="1"/>
    <xf numFmtId="0" fontId="8" fillId="0" borderId="0" xfId="0" applyFont="1" applyAlignment="1"/>
    <xf numFmtId="0" fontId="6" fillId="0" borderId="1" xfId="0" applyFont="1" applyBorder="1" applyAlignment="1"/>
    <xf numFmtId="0" fontId="5" fillId="0" borderId="0" xfId="0" applyFont="1" applyAlignment="1">
      <alignment horizontal="left"/>
    </xf>
    <xf numFmtId="0" fontId="5" fillId="0" borderId="0" xfId="0" applyFont="1" applyAlignment="1"/>
    <xf numFmtId="0" fontId="8" fillId="0" borderId="0" xfId="0" applyFont="1" applyAlignment="1"/>
    <xf numFmtId="0" fontId="6" fillId="0" borderId="0" xfId="0" applyFont="1" applyAlignment="1">
      <alignment horizontal="left"/>
    </xf>
    <xf numFmtId="0" fontId="6" fillId="0" borderId="2" xfId="0" applyFont="1" applyBorder="1" applyAlignment="1"/>
    <xf numFmtId="0" fontId="8" fillId="2" borderId="0" xfId="0" applyFont="1" applyFill="1" applyAlignment="1">
      <alignment horizontal="left"/>
    </xf>
    <xf numFmtId="0" fontId="6" fillId="0" borderId="4" xfId="0" applyFont="1" applyBorder="1" applyAlignment="1"/>
    <xf numFmtId="0" fontId="9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4" fontId="7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165" fontId="7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6" fillId="0" borderId="4" xfId="0" applyFont="1" applyBorder="1" applyAlignment="1"/>
    <xf numFmtId="0" fontId="6" fillId="0" borderId="3" xfId="0" applyFont="1" applyBorder="1" applyAlignment="1"/>
    <xf numFmtId="0" fontId="2" fillId="0" borderId="0" xfId="0" applyFont="1" applyAlignment="1">
      <alignment horizontal="right"/>
    </xf>
    <xf numFmtId="0" fontId="6" fillId="0" borderId="3" xfId="0" applyFont="1" applyBorder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8" fillId="0" borderId="3" xfId="0" applyFont="1" applyBorder="1" applyAlignment="1"/>
    <xf numFmtId="0" fontId="8" fillId="0" borderId="2" xfId="0" applyFont="1" applyBorder="1" applyAlignment="1"/>
    <xf numFmtId="0" fontId="6" fillId="0" borderId="1" xfId="0" applyFont="1" applyBorder="1" applyAlignment="1"/>
    <xf numFmtId="0" fontId="10" fillId="2" borderId="0" xfId="0" applyFont="1" applyFill="1"/>
    <xf numFmtId="0" fontId="10" fillId="2" borderId="0" xfId="0" applyFont="1" applyFill="1" applyAlignment="1">
      <alignment horizontal="right"/>
    </xf>
    <xf numFmtId="0" fontId="11" fillId="0" borderId="0" xfId="0" applyFont="1"/>
    <xf numFmtId="0" fontId="6" fillId="0" borderId="0" xfId="0" applyFont="1" applyAlignment="1"/>
    <xf numFmtId="0" fontId="12" fillId="2" borderId="0" xfId="0" applyFont="1" applyFill="1" applyAlignment="1">
      <alignment horizontal="left"/>
    </xf>
    <xf numFmtId="14" fontId="7" fillId="2" borderId="0" xfId="0" applyNumberFormat="1" applyFont="1" applyFill="1" applyAlignment="1">
      <alignment horizontal="left"/>
    </xf>
    <xf numFmtId="14" fontId="5" fillId="2" borderId="0" xfId="0" applyNumberFormat="1" applyFont="1" applyFill="1" applyAlignment="1">
      <alignment horizontal="left"/>
    </xf>
    <xf numFmtId="165" fontId="7" fillId="2" borderId="0" xfId="0" applyNumberFormat="1" applyFont="1" applyFill="1" applyAlignment="1">
      <alignment horizontal="left"/>
    </xf>
    <xf numFmtId="166" fontId="8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0" fontId="7" fillId="0" borderId="1" xfId="0" applyFont="1" applyBorder="1"/>
    <xf numFmtId="14" fontId="6" fillId="0" borderId="0" xfId="0" applyNumberFormat="1" applyFont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14" fillId="2" borderId="0" xfId="0" applyFont="1" applyFill="1"/>
    <xf numFmtId="0" fontId="10" fillId="2" borderId="0" xfId="0" applyFont="1" applyFill="1" applyAlignment="1">
      <alignment horizontal="right"/>
    </xf>
    <xf numFmtId="0" fontId="2" fillId="0" borderId="0" xfId="0" applyFont="1" applyAlignment="1"/>
    <xf numFmtId="0" fontId="6" fillId="0" borderId="4" xfId="0" applyFont="1" applyBorder="1" applyAlignment="1"/>
    <xf numFmtId="0" fontId="6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8" fillId="2" borderId="0" xfId="0" applyFont="1" applyFill="1" applyAlignment="1">
      <alignment horizontal="right"/>
    </xf>
    <xf numFmtId="0" fontId="9" fillId="0" borderId="0" xfId="0" applyFont="1" applyAlignment="1"/>
    <xf numFmtId="0" fontId="15" fillId="0" borderId="4" xfId="0" applyFont="1" applyBorder="1" applyAlignment="1"/>
    <xf numFmtId="0" fontId="13" fillId="0" borderId="0" xfId="0" applyFont="1" applyAlignment="1"/>
    <xf numFmtId="0" fontId="16" fillId="0" borderId="0" xfId="0" applyFont="1" applyAlignment="1"/>
    <xf numFmtId="0" fontId="17" fillId="0" borderId="4" xfId="0" applyFont="1" applyBorder="1" applyAlignment="1"/>
    <xf numFmtId="0" fontId="14" fillId="2" borderId="0" xfId="0" applyFont="1" applyFill="1"/>
    <xf numFmtId="0" fontId="2" fillId="0" borderId="0" xfId="0" applyFont="1" applyAlignment="1">
      <alignment horizontal="center"/>
    </xf>
    <xf numFmtId="0" fontId="11" fillId="0" borderId="0" xfId="0" applyFont="1" applyAlignment="1"/>
    <xf numFmtId="0" fontId="5" fillId="2" borderId="0" xfId="0" applyFont="1" applyFill="1" applyAlignment="1"/>
    <xf numFmtId="0" fontId="2" fillId="2" borderId="0" xfId="0" applyFont="1" applyFill="1" applyAlignment="1"/>
    <xf numFmtId="0" fontId="18" fillId="0" borderId="0" xfId="0" applyFont="1" applyAlignment="1"/>
    <xf numFmtId="0" fontId="15" fillId="0" borderId="0" xfId="0" applyFont="1" applyAlignme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2" fillId="0" borderId="0" xfId="0" applyNumberFormat="1" applyFont="1" applyAlignment="1"/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7" fillId="0" borderId="0" xfId="0" applyFont="1" applyAlignment="1"/>
    <xf numFmtId="0" fontId="13" fillId="0" borderId="0" xfId="0" applyFont="1" applyAlignment="1">
      <alignment horizontal="center"/>
    </xf>
    <xf numFmtId="0" fontId="17" fillId="2" borderId="0" xfId="0" applyFont="1" applyFill="1" applyAlignment="1"/>
    <xf numFmtId="0" fontId="11" fillId="2" borderId="0" xfId="0" applyFont="1" applyFill="1" applyAlignment="1"/>
    <xf numFmtId="14" fontId="11" fillId="0" borderId="0" xfId="0" applyNumberFormat="1" applyFont="1"/>
    <xf numFmtId="0" fontId="13" fillId="0" borderId="0" xfId="0" applyFont="1"/>
    <xf numFmtId="0" fontId="15" fillId="0" borderId="4" xfId="0" applyFont="1" applyBorder="1" applyAlignment="1"/>
    <xf numFmtId="0" fontId="17" fillId="0" borderId="5" xfId="0" applyFont="1" applyBorder="1" applyAlignment="1"/>
    <xf numFmtId="0" fontId="17" fillId="0" borderId="5" xfId="0" applyFont="1" applyBorder="1" applyAlignment="1"/>
    <xf numFmtId="0" fontId="10" fillId="2" borderId="0" xfId="0" applyFont="1" applyFill="1" applyAlignment="1">
      <alignment horizontal="center"/>
    </xf>
    <xf numFmtId="0" fontId="17" fillId="0" borderId="0" xfId="0" applyFont="1" applyAlignment="1"/>
    <xf numFmtId="0" fontId="9" fillId="0" borderId="0" xfId="0" applyFont="1" applyAlignment="1">
      <alignment horizontal="center"/>
    </xf>
    <xf numFmtId="0" fontId="17" fillId="2" borderId="0" xfId="0" applyFont="1" applyFill="1" applyAlignment="1"/>
    <xf numFmtId="0" fontId="4" fillId="0" borderId="0" xfId="0" applyFont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982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042"/>
  <sheetViews>
    <sheetView tabSelected="1" topLeftCell="O52" zoomScale="80" zoomScaleNormal="80" workbookViewId="0">
      <selection activeCell="V66" sqref="V66"/>
    </sheetView>
  </sheetViews>
  <sheetFormatPr defaultColWidth="14.42578125" defaultRowHeight="15.75" customHeight="1"/>
  <sheetData>
    <row r="1" spans="1:30">
      <c r="A1" s="103" t="s">
        <v>0</v>
      </c>
      <c r="B1" s="99"/>
      <c r="C1" s="99"/>
      <c r="D1" s="100"/>
      <c r="E1" s="103" t="s">
        <v>1</v>
      </c>
      <c r="F1" s="99"/>
      <c r="G1" s="99"/>
      <c r="H1" s="100"/>
      <c r="I1" s="102" t="s">
        <v>2</v>
      </c>
      <c r="J1" s="99"/>
      <c r="K1" s="99"/>
      <c r="L1" s="100"/>
      <c r="M1" s="102" t="s">
        <v>3</v>
      </c>
      <c r="N1" s="99"/>
      <c r="O1" s="99"/>
      <c r="P1" s="100"/>
      <c r="Q1" s="98" t="s">
        <v>4</v>
      </c>
      <c r="R1" s="99"/>
      <c r="S1" s="99"/>
      <c r="T1" s="100"/>
      <c r="U1" s="101" t="s">
        <v>2</v>
      </c>
      <c r="V1" s="99"/>
      <c r="W1" s="99"/>
      <c r="X1" s="100"/>
    </row>
    <row r="2" spans="1:30">
      <c r="A2" s="102" t="s">
        <v>5</v>
      </c>
      <c r="B2" s="99"/>
      <c r="C2" s="99"/>
      <c r="D2" s="100"/>
      <c r="E2" s="102" t="s">
        <v>6</v>
      </c>
      <c r="F2" s="99"/>
      <c r="G2" s="99"/>
      <c r="H2" s="100"/>
      <c r="I2" s="102" t="s">
        <v>7</v>
      </c>
      <c r="J2" s="99"/>
      <c r="K2" s="99"/>
      <c r="L2" s="100"/>
      <c r="M2" s="102" t="s">
        <v>8</v>
      </c>
      <c r="N2" s="99"/>
      <c r="O2" s="99"/>
      <c r="P2" s="100"/>
      <c r="Q2" s="98" t="s">
        <v>9</v>
      </c>
      <c r="R2" s="99"/>
      <c r="S2" s="99"/>
      <c r="T2" s="100"/>
      <c r="U2" s="101" t="s">
        <v>10</v>
      </c>
      <c r="V2" s="99"/>
      <c r="W2" s="99"/>
      <c r="X2" s="100"/>
    </row>
    <row r="3" spans="1:30" ht="15.75" customHeight="1">
      <c r="A3" s="2"/>
      <c r="B3" s="2"/>
      <c r="C3" s="2"/>
      <c r="D3" s="3"/>
      <c r="E3" s="2"/>
      <c r="F3" s="2"/>
      <c r="G3" s="2"/>
      <c r="H3" s="3"/>
      <c r="I3" s="2"/>
      <c r="J3" s="2"/>
      <c r="K3" s="2"/>
      <c r="L3" s="3"/>
      <c r="M3" s="2"/>
      <c r="N3" s="2"/>
      <c r="O3" s="2"/>
      <c r="P3" s="3"/>
      <c r="T3" s="1"/>
      <c r="U3" s="4"/>
      <c r="V3" s="2"/>
      <c r="W3" s="2"/>
      <c r="X3" s="3"/>
      <c r="Y3" s="2"/>
      <c r="Z3" s="2"/>
      <c r="AA3" s="2"/>
      <c r="AB3" s="5"/>
      <c r="AC3" s="2"/>
      <c r="AD3" s="5"/>
    </row>
    <row r="4" spans="1:30" ht="15.75" customHeight="1">
      <c r="A4" s="6" t="s">
        <v>11</v>
      </c>
      <c r="B4" s="7"/>
      <c r="C4" s="7"/>
      <c r="D4" s="8"/>
      <c r="E4" s="6" t="s">
        <v>11</v>
      </c>
      <c r="F4" s="7"/>
      <c r="G4" s="7"/>
      <c r="H4" s="8"/>
      <c r="I4" s="6" t="s">
        <v>11</v>
      </c>
      <c r="J4" s="7"/>
      <c r="K4" s="7"/>
      <c r="L4" s="8"/>
      <c r="M4" s="6" t="s">
        <v>11</v>
      </c>
      <c r="N4" s="7"/>
      <c r="O4" s="7"/>
      <c r="P4" s="8"/>
      <c r="Q4" s="6" t="s">
        <v>11</v>
      </c>
      <c r="R4" s="7"/>
      <c r="S4" s="7"/>
      <c r="T4" s="8"/>
      <c r="U4" s="9" t="s">
        <v>11</v>
      </c>
      <c r="V4" s="7"/>
      <c r="W4" s="7"/>
      <c r="X4" s="8"/>
      <c r="Y4" s="2"/>
      <c r="Z4" s="2"/>
      <c r="AA4" s="2"/>
      <c r="AB4" s="5"/>
      <c r="AC4" s="2"/>
      <c r="AD4" s="5"/>
    </row>
    <row r="5" spans="1:30" ht="15.75" customHeight="1">
      <c r="A5" s="2"/>
      <c r="B5" s="2" t="s">
        <v>12</v>
      </c>
      <c r="C5" s="2"/>
      <c r="D5" s="3"/>
      <c r="E5" s="2"/>
      <c r="F5" s="2" t="s">
        <v>12</v>
      </c>
      <c r="G5" s="2"/>
      <c r="H5" s="3"/>
      <c r="I5" s="2"/>
      <c r="J5" s="2" t="s">
        <v>12</v>
      </c>
      <c r="K5" s="2"/>
      <c r="L5" s="3"/>
      <c r="M5" s="2"/>
      <c r="N5" s="2" t="s">
        <v>12</v>
      </c>
      <c r="O5" s="2"/>
      <c r="P5" s="3"/>
      <c r="R5" s="2" t="s">
        <v>12</v>
      </c>
      <c r="T5" s="1"/>
      <c r="U5" s="4"/>
      <c r="V5" s="10" t="s">
        <v>12</v>
      </c>
      <c r="W5" s="2"/>
      <c r="X5" s="3"/>
      <c r="Y5" s="2"/>
      <c r="Z5" s="2"/>
      <c r="AA5" s="2"/>
      <c r="AB5" s="5"/>
      <c r="AC5" s="2"/>
      <c r="AD5" s="11"/>
    </row>
    <row r="6" spans="1:30" ht="15.75" customHeight="1">
      <c r="A6" s="2"/>
      <c r="B6" s="2"/>
      <c r="C6" s="2"/>
      <c r="D6" s="3"/>
      <c r="E6" s="2"/>
      <c r="F6" s="2"/>
      <c r="G6" s="2"/>
      <c r="H6" s="3"/>
      <c r="I6" s="2"/>
      <c r="J6" s="2"/>
      <c r="K6" s="2"/>
      <c r="L6" s="3"/>
      <c r="M6" s="2"/>
      <c r="N6" s="2"/>
      <c r="O6" s="2"/>
      <c r="P6" s="3"/>
      <c r="T6" s="1"/>
      <c r="U6" s="4"/>
      <c r="V6" s="2"/>
      <c r="W6" s="2"/>
      <c r="X6" s="3"/>
      <c r="Y6" s="2"/>
      <c r="Z6" s="2"/>
      <c r="AA6" s="2"/>
      <c r="AB6" s="5"/>
      <c r="AC6" s="2"/>
      <c r="AD6" s="5"/>
    </row>
    <row r="7" spans="1:30" ht="15.75" customHeight="1">
      <c r="A7" s="12" t="s">
        <v>13</v>
      </c>
      <c r="C7" s="2"/>
      <c r="D7" s="3"/>
      <c r="E7" s="13" t="s">
        <v>14</v>
      </c>
      <c r="G7" s="2"/>
      <c r="H7" s="3"/>
      <c r="I7" s="13" t="s">
        <v>15</v>
      </c>
      <c r="J7" s="2"/>
      <c r="K7" s="2"/>
      <c r="L7" s="3"/>
      <c r="M7" s="13" t="s">
        <v>16</v>
      </c>
      <c r="O7" s="2"/>
      <c r="P7" s="3"/>
      <c r="Q7" s="13" t="s">
        <v>17</v>
      </c>
      <c r="T7" s="1"/>
      <c r="U7" s="14" t="s">
        <v>18</v>
      </c>
      <c r="V7" s="2"/>
      <c r="W7" s="2"/>
      <c r="X7" s="3"/>
      <c r="Y7" s="2"/>
      <c r="Z7" s="2"/>
      <c r="AA7" s="2"/>
      <c r="AB7" s="15"/>
      <c r="AC7" s="2"/>
      <c r="AD7" s="16"/>
    </row>
    <row r="8" spans="1:30" ht="15.75" customHeight="1">
      <c r="A8" s="17" t="s">
        <v>19</v>
      </c>
      <c r="C8" s="2"/>
      <c r="D8" s="3"/>
      <c r="E8" s="17" t="s">
        <v>20</v>
      </c>
      <c r="G8" s="2"/>
      <c r="H8" s="3"/>
      <c r="I8" s="17" t="s">
        <v>21</v>
      </c>
      <c r="K8" s="2"/>
      <c r="L8" s="3"/>
      <c r="M8" s="18" t="s">
        <v>22</v>
      </c>
      <c r="O8" s="2"/>
      <c r="P8" s="3"/>
      <c r="Q8" s="13" t="s">
        <v>23</v>
      </c>
      <c r="T8" s="1"/>
      <c r="U8" s="19" t="s">
        <v>24</v>
      </c>
      <c r="V8" s="2"/>
      <c r="W8" s="2"/>
      <c r="X8" s="3"/>
      <c r="Y8" s="2"/>
      <c r="Z8" s="2"/>
      <c r="AA8" s="2"/>
      <c r="AB8" s="15"/>
      <c r="AC8" s="2"/>
      <c r="AD8" s="16"/>
    </row>
    <row r="9" spans="1:30" ht="15.75" customHeight="1">
      <c r="A9" s="13" t="s">
        <v>25</v>
      </c>
      <c r="B9" s="2"/>
      <c r="C9" s="2"/>
      <c r="D9" s="3"/>
      <c r="F9" s="2"/>
      <c r="G9" s="2"/>
      <c r="H9" s="3"/>
      <c r="I9" s="17" t="s">
        <v>26</v>
      </c>
      <c r="L9" s="3"/>
      <c r="M9" s="13" t="s">
        <v>27</v>
      </c>
      <c r="N9" s="2"/>
      <c r="O9" s="2"/>
      <c r="P9" s="3"/>
      <c r="Q9" s="13" t="s">
        <v>28</v>
      </c>
      <c r="T9" s="1"/>
      <c r="U9" s="13" t="s">
        <v>29</v>
      </c>
      <c r="V9" s="2"/>
      <c r="W9" s="2"/>
      <c r="X9" s="3"/>
      <c r="Y9" s="2"/>
      <c r="Z9" s="2"/>
      <c r="AA9" s="2"/>
      <c r="AB9" s="20"/>
      <c r="AC9" s="2"/>
      <c r="AD9" s="16"/>
    </row>
    <row r="10" spans="1:30" ht="15.75" customHeight="1">
      <c r="A10" s="13" t="s">
        <v>30</v>
      </c>
      <c r="B10" s="2"/>
      <c r="C10" s="2"/>
      <c r="D10" s="3"/>
      <c r="F10" s="2"/>
      <c r="G10" s="2"/>
      <c r="H10" s="3"/>
      <c r="J10" s="5"/>
      <c r="L10" s="21"/>
      <c r="M10" s="13" t="s">
        <v>31</v>
      </c>
      <c r="N10" s="2"/>
      <c r="P10" s="3"/>
      <c r="Q10" s="13" t="s">
        <v>32</v>
      </c>
      <c r="T10" s="1"/>
      <c r="V10" s="2"/>
      <c r="W10" s="2"/>
      <c r="X10" s="3"/>
      <c r="Y10" s="2"/>
      <c r="Z10" s="2"/>
      <c r="AA10" s="2"/>
      <c r="AB10" s="20"/>
      <c r="AC10" s="2"/>
      <c r="AD10" s="16"/>
    </row>
    <row r="11" spans="1:30" ht="15.75" customHeight="1">
      <c r="A11" s="5"/>
      <c r="B11" s="2"/>
      <c r="C11" s="22"/>
      <c r="D11" s="3"/>
      <c r="E11" s="5"/>
      <c r="F11" s="2"/>
      <c r="G11" s="22"/>
      <c r="H11" s="3"/>
      <c r="I11" s="2"/>
      <c r="J11" s="2"/>
      <c r="K11" s="2"/>
      <c r="L11" s="3"/>
      <c r="M11" s="2"/>
      <c r="N11" s="2"/>
      <c r="O11" s="2"/>
      <c r="P11" s="3"/>
      <c r="T11" s="1"/>
      <c r="U11" s="4"/>
      <c r="V11" s="2"/>
      <c r="W11" s="2"/>
      <c r="X11" s="3"/>
      <c r="Y11" s="2"/>
      <c r="Z11" s="2"/>
      <c r="AA11" s="2"/>
      <c r="AB11" s="20"/>
      <c r="AC11" s="2"/>
      <c r="AD11" s="16"/>
    </row>
    <row r="12" spans="1:30" ht="15.75" customHeight="1">
      <c r="A12" s="2"/>
      <c r="B12" s="2"/>
      <c r="C12" s="22"/>
      <c r="D12" s="3"/>
      <c r="E12" s="2"/>
      <c r="F12" s="2"/>
      <c r="G12" s="22"/>
      <c r="H12" s="3"/>
      <c r="I12" s="5"/>
      <c r="J12" s="23"/>
      <c r="K12" s="22"/>
      <c r="L12" s="3"/>
      <c r="M12" s="2"/>
      <c r="N12" s="2"/>
      <c r="O12" s="2"/>
      <c r="P12" s="3"/>
      <c r="T12" s="1"/>
      <c r="U12" s="4"/>
      <c r="V12" s="2"/>
      <c r="W12" s="2"/>
      <c r="X12" s="3"/>
      <c r="Y12" s="2"/>
      <c r="Z12" s="2"/>
      <c r="AA12" s="2"/>
      <c r="AB12" s="24"/>
      <c r="AC12" s="2"/>
      <c r="AD12" s="16"/>
    </row>
    <row r="13" spans="1:30" ht="15.75" customHeight="1">
      <c r="A13" s="5" t="s">
        <v>33</v>
      </c>
      <c r="B13" s="2"/>
      <c r="C13" s="25" t="s">
        <v>34</v>
      </c>
      <c r="D13" s="3"/>
      <c r="E13" s="5" t="s">
        <v>33</v>
      </c>
      <c r="F13" s="2"/>
      <c r="G13" s="25" t="s">
        <v>35</v>
      </c>
      <c r="H13" s="3"/>
      <c r="I13" s="5" t="s">
        <v>33</v>
      </c>
      <c r="J13" s="2"/>
      <c r="K13" s="25" t="s">
        <v>36</v>
      </c>
      <c r="L13" s="21"/>
      <c r="M13" s="5" t="s">
        <v>33</v>
      </c>
      <c r="N13" s="2"/>
      <c r="O13" s="25" t="s">
        <v>37</v>
      </c>
      <c r="P13" s="3"/>
      <c r="Q13" s="5" t="s">
        <v>33</v>
      </c>
      <c r="R13" s="2"/>
      <c r="S13" s="25" t="s">
        <v>38</v>
      </c>
      <c r="T13" s="1"/>
      <c r="U13" s="26" t="s">
        <v>33</v>
      </c>
      <c r="V13" s="2"/>
      <c r="W13" s="27" t="s">
        <v>39</v>
      </c>
      <c r="X13" s="3"/>
      <c r="Y13" s="2"/>
      <c r="Z13" s="2"/>
      <c r="AA13" s="2"/>
      <c r="AB13" s="20"/>
      <c r="AC13" s="2"/>
      <c r="AD13" s="16"/>
    </row>
    <row r="14" spans="1:30">
      <c r="A14" s="5" t="s">
        <v>40</v>
      </c>
      <c r="B14" s="2"/>
      <c r="C14" s="25" t="s">
        <v>41</v>
      </c>
      <c r="D14" s="3"/>
      <c r="E14" s="5" t="s">
        <v>40</v>
      </c>
      <c r="F14" s="2"/>
      <c r="G14" s="25" t="s">
        <v>42</v>
      </c>
      <c r="H14" s="3"/>
      <c r="I14" s="5" t="s">
        <v>40</v>
      </c>
      <c r="J14" s="2"/>
      <c r="K14" s="25" t="s">
        <v>43</v>
      </c>
      <c r="L14" s="3"/>
      <c r="M14" s="5" t="s">
        <v>40</v>
      </c>
      <c r="N14" s="2"/>
      <c r="O14" s="25" t="s">
        <v>44</v>
      </c>
      <c r="P14" s="3"/>
      <c r="Q14" s="5" t="s">
        <v>40</v>
      </c>
      <c r="R14" s="2"/>
      <c r="S14" s="25" t="s">
        <v>44</v>
      </c>
      <c r="T14" s="1"/>
      <c r="U14" s="26" t="s">
        <v>40</v>
      </c>
      <c r="V14" s="2"/>
      <c r="W14" s="28" t="s">
        <v>44</v>
      </c>
      <c r="X14" s="3"/>
      <c r="Y14" s="2"/>
      <c r="Z14" s="2"/>
      <c r="AA14" s="2"/>
      <c r="AB14" s="24"/>
      <c r="AC14" s="2"/>
      <c r="AD14" s="29"/>
    </row>
    <row r="15" spans="1:30" ht="15.75" customHeight="1">
      <c r="A15" s="30" t="s">
        <v>45</v>
      </c>
      <c r="B15" s="22"/>
      <c r="C15" s="31">
        <f ca="1">IFERROR(__xludf.DUMMYFUNCTION("VLOOKUP(C13,IMPORTRANGE(""12tmwbDwibV62zKOh4wo_LVGcWqZMQb_Z7Ed4DSpUlqQ"",""A1:I150""), 2, 0)"),43368)</f>
        <v>43368</v>
      </c>
      <c r="D15" s="32"/>
      <c r="E15" s="30" t="s">
        <v>45</v>
      </c>
      <c r="F15" s="22"/>
      <c r="G15" s="31">
        <f ca="1">IFERROR(__xludf.DUMMYFUNCTION("VLOOKUP(G13,IMPORTRANGE(""12tmwbDwibV62zKOh4wo_LVGcWqZMQb_Z7Ed4DSpUlqQ"",""A1:I150""), 2, 0)"),43372)</f>
        <v>43372</v>
      </c>
      <c r="H15" s="32"/>
      <c r="I15" s="30" t="s">
        <v>45</v>
      </c>
      <c r="J15" s="22"/>
      <c r="K15" s="33">
        <f ca="1">IFERROR(__xludf.DUMMYFUNCTION("VLOOKUP(K13,IMPORTRANGE(""12tmwbDwibV62zKOh4wo_LVGcWqZMQb_Z7Ed4DSpUlqQ"",""A1:I150""), 2, 0)"),43410)</f>
        <v>43410</v>
      </c>
      <c r="L15" s="32"/>
      <c r="M15" s="30" t="s">
        <v>45</v>
      </c>
      <c r="N15" s="22"/>
      <c r="O15" s="34">
        <f ca="1">IFERROR(__xludf.DUMMYFUNCTION("VLOOKUP(O13,IMPORTRANGE(""12tmwbDwibV62zKOh4wo_LVGcWqZMQb_Z7Ed4DSpUlqQ"",""A1:I150""), 2, 0)"),43324)</f>
        <v>43324</v>
      </c>
      <c r="P15" s="3"/>
      <c r="Q15" s="30" t="s">
        <v>45</v>
      </c>
      <c r="R15" s="22"/>
      <c r="S15" s="34">
        <f ca="1">IFERROR(__xludf.DUMMYFUNCTION("VLOOKUP(S13,IMPORTRANGE(""12tmwbDwibV62zKOh4wo_LVGcWqZMQb_Z7Ed4DSpUlqQ"",""A1:I150""), 2, 0)"),43393)</f>
        <v>43393</v>
      </c>
      <c r="T15" s="1"/>
      <c r="U15" s="26" t="s">
        <v>45</v>
      </c>
      <c r="V15" s="2"/>
      <c r="W15" s="35">
        <f ca="1">IFERROR(__xludf.DUMMYFUNCTION("VLOOKUP(W13,IMPORTRANGE(""12tmwbDwibV62zKOh4wo_LVGcWqZMQb_Z7Ed4DSpUlqQ"",""A1:I150""), 2, 0)"),43410)</f>
        <v>43410</v>
      </c>
      <c r="X15" s="3"/>
      <c r="Y15" s="2"/>
      <c r="Z15" s="2"/>
      <c r="AA15" s="2"/>
      <c r="AB15" s="20"/>
      <c r="AC15" s="2"/>
      <c r="AD15" s="15"/>
    </row>
    <row r="16" spans="1:30" ht="15.75" customHeight="1">
      <c r="A16" s="13" t="s">
        <v>46</v>
      </c>
      <c r="C16" s="36">
        <f ca="1">INT((A992-C15)/7)</f>
        <v>7</v>
      </c>
      <c r="D16" s="1"/>
      <c r="E16" s="13" t="s">
        <v>46</v>
      </c>
      <c r="G16" s="36">
        <f ca="1">INT((A992-G15)/7)</f>
        <v>6</v>
      </c>
      <c r="H16" s="1"/>
      <c r="I16" s="37" t="s">
        <v>46</v>
      </c>
      <c r="J16" s="2"/>
      <c r="K16" s="16">
        <f ca="1">INT((A992-K15)/7)</f>
        <v>1</v>
      </c>
      <c r="L16" s="1"/>
      <c r="M16" s="37" t="s">
        <v>46</v>
      </c>
      <c r="N16" s="2"/>
      <c r="O16" s="16">
        <f ca="1">INT((A992-O15)/7)</f>
        <v>13</v>
      </c>
      <c r="P16" s="3"/>
      <c r="Q16" s="37" t="s">
        <v>46</v>
      </c>
      <c r="R16" s="2"/>
      <c r="S16" s="16">
        <f ca="1">INT(($A$992-S15)/7)</f>
        <v>3</v>
      </c>
      <c r="T16" s="1"/>
      <c r="U16" s="38" t="s">
        <v>46</v>
      </c>
      <c r="V16" s="2"/>
      <c r="W16" s="16">
        <f ca="1">INT(($A$992-W15)/7)</f>
        <v>1</v>
      </c>
      <c r="X16" s="3"/>
      <c r="Y16" s="2"/>
      <c r="Z16" s="2"/>
      <c r="AA16" s="2"/>
      <c r="AB16" s="20"/>
      <c r="AC16" s="2"/>
      <c r="AD16" s="15"/>
    </row>
    <row r="17" spans="1:30" ht="15.75" customHeight="1">
      <c r="A17" s="13" t="s">
        <v>47</v>
      </c>
      <c r="C17" s="39">
        <f ca="1">IFERROR(__xludf.DUMMYFUNCTION("VLOOKUP(C13,IMPORTRANGE(""12tmwbDwibV62zKOh4wo_LVGcWqZMQb_Z7Ed4DSpUlqQ"",""A1:I150""), 9, 0)"),15)</f>
        <v>15</v>
      </c>
      <c r="D17" s="1"/>
      <c r="E17" s="13" t="s">
        <v>47</v>
      </c>
      <c r="G17" s="39">
        <f ca="1">IFERROR(__xludf.DUMMYFUNCTION("VLOOKUP(G13,IMPORTRANGE(""12tmwbDwibV62zKOh4wo_LVGcWqZMQb_Z7Ed4DSpUlqQ"",""A1:I150""), 9, 0)"),8)</f>
        <v>8</v>
      </c>
      <c r="H17" s="1"/>
      <c r="I17" s="13" t="s">
        <v>47</v>
      </c>
      <c r="K17" s="39">
        <f ca="1">IFERROR(__xludf.DUMMYFUNCTION("VLOOKUP(K13,IMPORTRANGE(""12tmwbDwibV62zKOh4wo_LVGcWqZMQb_Z7Ed4DSpUlqQ"",""A1:I150""), 9, 0)"),5)</f>
        <v>5</v>
      </c>
      <c r="L17" s="1"/>
      <c r="M17" s="13" t="s">
        <v>47</v>
      </c>
      <c r="O17" s="39">
        <f ca="1">IFERROR(__xludf.DUMMYFUNCTION("VLOOKUP(O13,IMPORTRANGE(""12tmwbDwibV62zKOh4wo_LVGcWqZMQb_Z7Ed4DSpUlqQ"",""A1:I150""), 9, 0)"),0)</f>
        <v>0</v>
      </c>
      <c r="P17" s="3"/>
      <c r="Q17" s="13" t="s">
        <v>47</v>
      </c>
      <c r="S17" s="39">
        <f ca="1">IFERROR(__xludf.DUMMYFUNCTION("VLOOKUP(S13,IMPORTRANGE(""12tmwbDwibV62zKOh4wo_LVGcWqZMQb_Z7Ed4DSpUlqQ"",""A1:I150""), 9, 0)"),1)</f>
        <v>1</v>
      </c>
      <c r="T17" s="1"/>
      <c r="U17" s="40" t="s">
        <v>47</v>
      </c>
      <c r="V17" s="2"/>
      <c r="W17" s="41">
        <f ca="1">IFERROR(__xludf.DUMMYFUNCTION("VLOOKUP(W13,IMPORTRANGE(""12tmwbDwibV62zKOh4wo_LVGcWqZMQb_Z7Ed4DSpUlqQ"",""A1:I150""), 9, 0)"),0)</f>
        <v>0</v>
      </c>
      <c r="X17" s="3"/>
      <c r="Y17" s="2"/>
      <c r="Z17" s="2"/>
      <c r="AA17" s="2"/>
      <c r="AB17" s="20"/>
      <c r="AC17" s="2"/>
      <c r="AD17" s="5"/>
    </row>
    <row r="18" spans="1:30" ht="15.75" customHeight="1">
      <c r="A18" s="5" t="s">
        <v>48</v>
      </c>
      <c r="B18" s="2"/>
      <c r="C18" s="25" t="str">
        <f ca="1">IFERROR(__xludf.DUMMYFUNCTION("IF(VLOOKUP(C13,IMPORTRANGE(""12tmwbDwibV62zKOh4wo_LVGcWqZMQb_Z7Ed4DSpUlqQ"",""A1:I150""), 4, 0)=""LOA"", ""LOA"", IF(C26=B980, ""Undefined"", IF(C26&lt;B979, ""Inactive"", IF(C26&lt;B978, ""Semi-Active"", IF(C26&lt;B977, ""Active"", IF(C26&gt;B976, ""No-Lifer""))))))"),"Inactive")</f>
        <v>Inactive</v>
      </c>
      <c r="D18" s="3"/>
      <c r="E18" s="5" t="s">
        <v>48</v>
      </c>
      <c r="F18" s="2"/>
      <c r="G18" s="25" t="str">
        <f ca="1">IFERROR(__xludf.DUMMYFUNCTION("IF(VLOOKUP(G13,IMPORTRANGE(""12tmwbDwibV62zKOh4wo_LVGcWqZMQb_Z7Ed4DSpUlqQ"",""A1:I150""), 4, 0)=""LOA"", ""LOA"", IF(G26=B980, ""Undefined"", IF(G26&lt;B979, ""Inactive"", IF(G26&lt;B978, ""Semi-Active"", IF(G26&lt;B977, ""Active"", IF(G26&gt;B976, ""No-Lifer""))))))"),"Active")</f>
        <v>Active</v>
      </c>
      <c r="H18" s="3"/>
      <c r="I18" s="5" t="s">
        <v>48</v>
      </c>
      <c r="J18" s="2"/>
      <c r="K18" s="25" t="str">
        <f ca="1">IFERROR(__xludf.DUMMYFUNCTION("IF(VLOOKUP(K13,IMPORTRANGE(""12tmwbDwibV62zKOh4wo_LVGcWqZMQb_Z7Ed4DSpUlqQ"",""A1:I150""), 4, 0)=""LOA"", ""LOA"", IF(K26=B980, ""Undefined"", IF(K26&lt;B979, ""Inactive"", IF(K26&lt;B978, ""Semi-Active"", IF(K26&lt;B977, ""Active"", IF(K26&gt;B976, ""No-Lifer""))))))"),"No-Lifer")</f>
        <v>No-Lifer</v>
      </c>
      <c r="L18" s="21"/>
      <c r="M18" s="5" t="s">
        <v>48</v>
      </c>
      <c r="N18" s="2"/>
      <c r="O18" s="25" t="str">
        <f ca="1">IFERROR(__xludf.DUMMYFUNCTION("IF(VLOOKUP(O13,IMPORTRANGE(""12tmwbDwibV62zKOh4wo_LVGcWqZMQb_Z7Ed4DSpUlqQ"",""A1:I150""), 4, 0)=""LOA"", ""LOA"", IF(O26=B980, ""Undefined"", IF(O26&lt;B979, ""Inactive"", IF(O26&lt;B978, ""Semi-Active"", IF(O26&lt;B977, ""Active"", IF(O26&gt;B976, ""No-Lifer""))))))"),"Undefined")</f>
        <v>Undefined</v>
      </c>
      <c r="P18" s="3"/>
      <c r="Q18" s="5" t="s">
        <v>48</v>
      </c>
      <c r="R18" s="2"/>
      <c r="S18" s="25" t="str">
        <f ca="1">IFERROR(__xludf.DUMMYFUNCTION("IF(VLOOKUP(S13,IMPORTRANGE(""12tmwbDwibV62zKOh4wo_LVGcWqZMQb_Z7Ed4DSpUlqQ"",""A1:I150""), 4, 0)=""LOA"", ""LOA"", IF(S26=$B$980, ""Undefined"", IF(S26&lt;$B$979, ""Inactive"", IF(S26&lt;$B$978, ""Semi-Active"", IF(S26&lt;$B$977, ""Active"", IF(S26&gt;$B$976, ""No-Lif"&amp;"er""))))))"),"Inactive")</f>
        <v>Inactive</v>
      </c>
      <c r="T18" s="1"/>
      <c r="U18" s="26" t="s">
        <v>48</v>
      </c>
      <c r="V18" s="2"/>
      <c r="W18" s="42" t="str">
        <f ca="1">IFERROR(__xludf.DUMMYFUNCTION("IF(VLOOKUP(W13,IMPORTRANGE(""12tmwbDwibV62zKOh4wo_LVGcWqZMQb_Z7Ed4DSpUlqQ"",""A1:I150""), 4, 0)=""LOA"", ""LOA"", IF(W26=$B$980, ""Undefined"", IF(W26&lt;$B$979, ""Inactive"", IF(W26&lt;$B$978, ""Semi-Active"", IF(W26&lt;$B$977, ""Active"", IF(W26&gt;$B$976, ""No-Lif"&amp;"er""))))))"),"Inactive")</f>
        <v>Inactive</v>
      </c>
      <c r="X18" s="3"/>
      <c r="Y18" s="2"/>
      <c r="Z18" s="2"/>
      <c r="AA18" s="2"/>
      <c r="AB18" s="20"/>
      <c r="AC18" s="2"/>
      <c r="AD18" s="5"/>
    </row>
    <row r="19" spans="1:30" ht="15.75" customHeight="1">
      <c r="A19" s="15" t="s">
        <v>49</v>
      </c>
      <c r="B19" s="2"/>
      <c r="C19" s="43">
        <v>0</v>
      </c>
      <c r="D19" s="3"/>
      <c r="E19" s="15" t="s">
        <v>49</v>
      </c>
      <c r="F19" s="2"/>
      <c r="G19" s="43">
        <v>0</v>
      </c>
      <c r="H19" s="3"/>
      <c r="I19" s="15" t="s">
        <v>49</v>
      </c>
      <c r="J19" s="2"/>
      <c r="K19" s="44">
        <v>0</v>
      </c>
      <c r="L19" s="3"/>
      <c r="M19" s="15" t="s">
        <v>49</v>
      </c>
      <c r="N19" s="2"/>
      <c r="O19" s="44">
        <v>0</v>
      </c>
      <c r="P19" s="3"/>
      <c r="Q19" s="15" t="s">
        <v>49</v>
      </c>
      <c r="R19" s="2"/>
      <c r="S19" s="44">
        <v>0</v>
      </c>
      <c r="T19" s="1"/>
      <c r="U19" s="38" t="s">
        <v>49</v>
      </c>
      <c r="V19" s="2"/>
      <c r="W19" s="23">
        <v>0</v>
      </c>
      <c r="X19" s="3"/>
      <c r="Y19" s="2"/>
      <c r="Z19" s="2"/>
      <c r="AA19" s="2"/>
      <c r="AB19" s="20"/>
      <c r="AC19" s="2"/>
      <c r="AD19" s="5"/>
    </row>
    <row r="20" spans="1:30" ht="15.75" customHeight="1">
      <c r="A20" s="15" t="s">
        <v>50</v>
      </c>
      <c r="B20" s="2"/>
      <c r="C20" s="44">
        <v>0</v>
      </c>
      <c r="D20" s="3"/>
      <c r="E20" s="15" t="s">
        <v>50</v>
      </c>
      <c r="F20" s="2"/>
      <c r="G20" s="44">
        <v>1</v>
      </c>
      <c r="H20" s="3"/>
      <c r="I20" s="15" t="s">
        <v>50</v>
      </c>
      <c r="J20" s="2"/>
      <c r="K20" s="44">
        <v>0</v>
      </c>
      <c r="L20" s="3"/>
      <c r="M20" s="15" t="s">
        <v>50</v>
      </c>
      <c r="N20" s="2"/>
      <c r="O20" s="44">
        <v>0</v>
      </c>
      <c r="P20" s="3"/>
      <c r="Q20" s="15" t="s">
        <v>50</v>
      </c>
      <c r="R20" s="2"/>
      <c r="S20" s="44">
        <v>0</v>
      </c>
      <c r="T20" s="1"/>
      <c r="U20" s="38" t="s">
        <v>50</v>
      </c>
      <c r="V20" s="2"/>
      <c r="W20" s="23">
        <v>0</v>
      </c>
      <c r="X20" s="3"/>
      <c r="Y20" s="2"/>
      <c r="Z20" s="2"/>
      <c r="AA20" s="2"/>
      <c r="AB20" s="20"/>
      <c r="AC20" s="2"/>
      <c r="AD20" s="5"/>
    </row>
    <row r="21" spans="1:30" ht="15.75" customHeight="1">
      <c r="A21" s="20" t="s">
        <v>51</v>
      </c>
      <c r="B21" s="2"/>
      <c r="C21" s="44">
        <v>0</v>
      </c>
      <c r="D21" s="3"/>
      <c r="E21" s="20" t="s">
        <v>51</v>
      </c>
      <c r="F21" s="2"/>
      <c r="G21" s="44">
        <v>0</v>
      </c>
      <c r="H21" s="3"/>
      <c r="I21" s="20" t="s">
        <v>51</v>
      </c>
      <c r="J21" s="2"/>
      <c r="K21" s="44">
        <v>1</v>
      </c>
      <c r="L21" s="3"/>
      <c r="M21" s="20" t="s">
        <v>51</v>
      </c>
      <c r="N21" s="2"/>
      <c r="O21" s="44">
        <v>0</v>
      </c>
      <c r="P21" s="3"/>
      <c r="Q21" s="20" t="s">
        <v>51</v>
      </c>
      <c r="R21" s="2"/>
      <c r="S21" s="44">
        <v>0</v>
      </c>
      <c r="T21" s="1"/>
      <c r="U21" s="45" t="s">
        <v>51</v>
      </c>
      <c r="V21" s="2"/>
      <c r="W21" s="23">
        <v>0</v>
      </c>
      <c r="X21" s="3"/>
      <c r="Y21" s="2"/>
      <c r="Z21" s="2"/>
      <c r="AA21" s="2"/>
      <c r="AB21" s="20"/>
      <c r="AC21" s="2"/>
      <c r="AD21" s="5"/>
    </row>
    <row r="22" spans="1:30" ht="15.75" customHeight="1">
      <c r="A22" s="20" t="s">
        <v>52</v>
      </c>
      <c r="B22" s="2"/>
      <c r="C22" s="44">
        <v>1</v>
      </c>
      <c r="D22" s="3"/>
      <c r="E22" s="20" t="s">
        <v>52</v>
      </c>
      <c r="F22" s="2"/>
      <c r="G22" s="44">
        <v>2</v>
      </c>
      <c r="H22" s="3"/>
      <c r="I22" s="20" t="s">
        <v>52</v>
      </c>
      <c r="J22" s="2"/>
      <c r="K22" s="44">
        <v>0</v>
      </c>
      <c r="L22" s="3"/>
      <c r="M22" s="20" t="s">
        <v>52</v>
      </c>
      <c r="N22" s="2"/>
      <c r="O22" s="44">
        <v>0</v>
      </c>
      <c r="P22" s="3"/>
      <c r="Q22" s="20" t="s">
        <v>52</v>
      </c>
      <c r="R22" s="2"/>
      <c r="S22" s="44">
        <v>0</v>
      </c>
      <c r="T22" s="1"/>
      <c r="U22" s="45" t="s">
        <v>52</v>
      </c>
      <c r="V22" s="2"/>
      <c r="W22" s="23">
        <v>0</v>
      </c>
      <c r="X22" s="3"/>
      <c r="Y22" s="2"/>
      <c r="Z22" s="2"/>
      <c r="AA22" s="2"/>
      <c r="AB22" s="2"/>
      <c r="AC22" s="2"/>
      <c r="AD22" s="2"/>
    </row>
    <row r="23" spans="1:30" ht="15.75" customHeight="1">
      <c r="A23" s="20" t="s">
        <v>53</v>
      </c>
      <c r="B23" s="2"/>
      <c r="C23" s="44">
        <v>1</v>
      </c>
      <c r="D23" s="3"/>
      <c r="E23" s="20" t="s">
        <v>53</v>
      </c>
      <c r="F23" s="2"/>
      <c r="G23" s="44">
        <v>3</v>
      </c>
      <c r="H23" s="3"/>
      <c r="I23" s="20" t="s">
        <v>53</v>
      </c>
      <c r="J23" s="2"/>
      <c r="K23" s="44">
        <v>2</v>
      </c>
      <c r="L23" s="3"/>
      <c r="M23" s="20" t="s">
        <v>53</v>
      </c>
      <c r="N23" s="2"/>
      <c r="O23" s="44">
        <v>0</v>
      </c>
      <c r="P23" s="3"/>
      <c r="Q23" s="20" t="s">
        <v>53</v>
      </c>
      <c r="R23" s="2"/>
      <c r="S23" s="44">
        <v>1</v>
      </c>
      <c r="T23" s="1"/>
      <c r="U23" s="45" t="s">
        <v>53</v>
      </c>
      <c r="V23" s="2"/>
      <c r="W23" s="23">
        <v>1</v>
      </c>
      <c r="X23" s="3"/>
      <c r="Y23" s="2"/>
      <c r="Z23" s="2"/>
      <c r="AA23" s="2"/>
      <c r="AB23" s="2"/>
      <c r="AC23" s="2"/>
      <c r="AD23" s="2"/>
    </row>
    <row r="24" spans="1:30" ht="15.75" customHeight="1">
      <c r="A24" s="24" t="s">
        <v>54</v>
      </c>
      <c r="B24" s="2"/>
      <c r="C24" s="44">
        <v>0</v>
      </c>
      <c r="D24" s="3"/>
      <c r="E24" s="24" t="s">
        <v>54</v>
      </c>
      <c r="F24" s="2"/>
      <c r="G24" s="44">
        <v>0</v>
      </c>
      <c r="H24" s="3"/>
      <c r="I24" s="24" t="s">
        <v>54</v>
      </c>
      <c r="J24" s="2"/>
      <c r="K24" s="44">
        <v>1</v>
      </c>
      <c r="L24" s="3"/>
      <c r="M24" s="24" t="s">
        <v>54</v>
      </c>
      <c r="N24" s="2"/>
      <c r="O24" s="44">
        <v>0</v>
      </c>
      <c r="P24" s="3"/>
      <c r="Q24" s="24" t="s">
        <v>54</v>
      </c>
      <c r="R24" s="2"/>
      <c r="S24" s="44">
        <v>0</v>
      </c>
      <c r="T24" s="1"/>
      <c r="U24" s="46" t="s">
        <v>54</v>
      </c>
      <c r="V24" s="2"/>
      <c r="W24" s="44">
        <v>0</v>
      </c>
      <c r="X24" s="3"/>
      <c r="Y24" s="2"/>
      <c r="Z24" s="2"/>
      <c r="AA24" s="2"/>
      <c r="AB24" s="2"/>
      <c r="AC24" s="2"/>
      <c r="AD24" s="2"/>
    </row>
    <row r="25" spans="1:30" ht="15.75" customHeight="1">
      <c r="A25" s="20" t="s">
        <v>55</v>
      </c>
      <c r="B25" s="2"/>
      <c r="C25" s="44">
        <v>0</v>
      </c>
      <c r="D25" s="3"/>
      <c r="E25" s="20" t="s">
        <v>55</v>
      </c>
      <c r="F25" s="2"/>
      <c r="G25" s="44">
        <v>1</v>
      </c>
      <c r="H25" s="3"/>
      <c r="I25" s="20" t="s">
        <v>55</v>
      </c>
      <c r="J25" s="2"/>
      <c r="K25" s="44">
        <v>4</v>
      </c>
      <c r="L25" s="3"/>
      <c r="M25" s="20" t="s">
        <v>55</v>
      </c>
      <c r="N25" s="2"/>
      <c r="O25" s="44">
        <v>0</v>
      </c>
      <c r="P25" s="47"/>
      <c r="Q25" s="20" t="s">
        <v>55</v>
      </c>
      <c r="R25" s="2"/>
      <c r="S25" s="44">
        <v>1</v>
      </c>
      <c r="T25" s="1"/>
      <c r="U25" s="45" t="s">
        <v>55</v>
      </c>
      <c r="V25" s="2"/>
      <c r="W25" s="44">
        <v>1</v>
      </c>
      <c r="X25" s="3"/>
      <c r="Y25" s="2"/>
    </row>
    <row r="26" spans="1:30">
      <c r="A26" s="24" t="s">
        <v>56</v>
      </c>
      <c r="B26" s="2"/>
      <c r="C26" s="29">
        <f>(C19*B983)+(C20*B984)+(C21*B985)+(C22*B986)+(C23*B987)+(C24*B988)+(C25*B989)</f>
        <v>2.5</v>
      </c>
      <c r="D26" s="3"/>
      <c r="E26" s="24" t="s">
        <v>56</v>
      </c>
      <c r="F26" s="2"/>
      <c r="G26" s="29">
        <f>(G19*B983)+(G20*B984)+(G21*B985)+(G22*B986)+(G23*B987)+(G24*B988)+(G25*B989)</f>
        <v>10</v>
      </c>
      <c r="H26" s="3"/>
      <c r="I26" s="24" t="s">
        <v>56</v>
      </c>
      <c r="J26" s="2"/>
      <c r="K26" s="29">
        <f>(K19*B983)+(K20*B984)+(K21*B985)+(K22*B986)+(K23*B987)+(K24*B988)+(K25*B989)</f>
        <v>15.5</v>
      </c>
      <c r="L26" s="3"/>
      <c r="M26" s="24" t="s">
        <v>56</v>
      </c>
      <c r="N26" s="2"/>
      <c r="O26" s="48">
        <f>(O19*B983)+(O20*B984)+(O21*B985)+(O22*B986)+(O23*B987)+(O24*B988)+(O25*B989)</f>
        <v>0</v>
      </c>
      <c r="P26" s="47"/>
      <c r="Q26" s="24" t="s">
        <v>56</v>
      </c>
      <c r="R26" s="2"/>
      <c r="S26" s="48">
        <f>(S19*$B$983)+(S20*$B$984)+(S21*$B$985)+(S22*$B$986)+(S23*$B$987)+(S24*$B$988)+(S25*$B$989)</f>
        <v>3</v>
      </c>
      <c r="T26" s="1"/>
      <c r="U26" s="46" t="s">
        <v>56</v>
      </c>
      <c r="V26" s="2"/>
      <c r="W26" s="49">
        <f>(W19*$B$983)+(W20*$B$984)+(W21*$B$985)+(W22*$B$986)+(W23*$B$987)+(W24*$B$988)+(W25*$B$989)</f>
        <v>3</v>
      </c>
      <c r="X26" s="3"/>
      <c r="Y26" s="2"/>
    </row>
    <row r="27" spans="1:30" ht="15.75" customHeight="1">
      <c r="A27" s="20" t="s">
        <v>57</v>
      </c>
      <c r="B27" s="2"/>
      <c r="C27" s="51" t="s">
        <v>58</v>
      </c>
      <c r="D27" s="3"/>
      <c r="E27" s="20" t="s">
        <v>57</v>
      </c>
      <c r="F27" s="2"/>
      <c r="G27" s="51" t="s">
        <v>58</v>
      </c>
      <c r="H27" s="3"/>
      <c r="I27" s="20" t="s">
        <v>57</v>
      </c>
      <c r="J27" s="2"/>
      <c r="K27" s="51" t="s">
        <v>59</v>
      </c>
      <c r="L27" s="3"/>
      <c r="M27" s="20" t="s">
        <v>57</v>
      </c>
      <c r="N27" s="2"/>
      <c r="O27" s="51" t="s">
        <v>59</v>
      </c>
      <c r="P27" s="3"/>
      <c r="Q27" s="20" t="s">
        <v>57</v>
      </c>
      <c r="R27" s="2"/>
      <c r="S27" s="51" t="s">
        <v>59</v>
      </c>
      <c r="T27" s="1"/>
      <c r="U27" s="45" t="s">
        <v>57</v>
      </c>
      <c r="V27" s="2"/>
      <c r="W27" s="17" t="s">
        <v>59</v>
      </c>
      <c r="X27" s="3"/>
    </row>
    <row r="28" spans="1:30" ht="15.75" customHeight="1">
      <c r="A28" s="20" t="s">
        <v>60</v>
      </c>
      <c r="B28" s="2"/>
      <c r="C28" s="51" t="s">
        <v>58</v>
      </c>
      <c r="D28" s="3"/>
      <c r="E28" s="20" t="s">
        <v>60</v>
      </c>
      <c r="F28" s="2"/>
      <c r="G28" s="51" t="s">
        <v>58</v>
      </c>
      <c r="H28" s="3"/>
      <c r="I28" s="20" t="s">
        <v>60</v>
      </c>
      <c r="J28" s="2"/>
      <c r="K28" s="51" t="s">
        <v>59</v>
      </c>
      <c r="L28" s="3"/>
      <c r="M28" s="20" t="s">
        <v>60</v>
      </c>
      <c r="N28" s="2"/>
      <c r="O28" s="51" t="s">
        <v>59</v>
      </c>
      <c r="P28" s="3"/>
      <c r="Q28" s="20" t="s">
        <v>60</v>
      </c>
      <c r="R28" s="2"/>
      <c r="S28" s="51" t="s">
        <v>59</v>
      </c>
      <c r="T28" s="1"/>
      <c r="U28" s="45" t="s">
        <v>60</v>
      </c>
      <c r="V28" s="2"/>
      <c r="W28" s="17" t="s">
        <v>59</v>
      </c>
      <c r="X28" s="3"/>
    </row>
    <row r="29" spans="1:30" ht="15.75" customHeight="1">
      <c r="A29" s="20" t="s">
        <v>61</v>
      </c>
      <c r="B29" s="2"/>
      <c r="C29" s="17" t="s">
        <v>58</v>
      </c>
      <c r="D29" s="3"/>
      <c r="E29" s="20" t="s">
        <v>61</v>
      </c>
      <c r="F29" s="2"/>
      <c r="G29" s="17" t="s">
        <v>58</v>
      </c>
      <c r="H29" s="3"/>
      <c r="I29" s="20" t="s">
        <v>61</v>
      </c>
      <c r="J29" s="2"/>
      <c r="K29" s="17" t="s">
        <v>59</v>
      </c>
      <c r="L29" s="3"/>
      <c r="M29" s="20" t="s">
        <v>61</v>
      </c>
      <c r="N29" s="2"/>
      <c r="O29" s="17" t="s">
        <v>59</v>
      </c>
      <c r="P29" s="3"/>
      <c r="Q29" s="20" t="s">
        <v>61</v>
      </c>
      <c r="R29" s="2"/>
      <c r="S29" s="17" t="s">
        <v>59</v>
      </c>
      <c r="T29" s="1"/>
      <c r="U29" s="45" t="s">
        <v>61</v>
      </c>
      <c r="V29" s="2"/>
      <c r="W29" s="17" t="s">
        <v>59</v>
      </c>
      <c r="X29" s="3"/>
    </row>
    <row r="30" spans="1:30" ht="15.75" customHeight="1">
      <c r="A30" s="20" t="s">
        <v>62</v>
      </c>
      <c r="B30" s="2"/>
      <c r="C30" s="17" t="s">
        <v>58</v>
      </c>
      <c r="D30" s="3"/>
      <c r="E30" s="20" t="s">
        <v>62</v>
      </c>
      <c r="F30" s="2"/>
      <c r="G30" s="17" t="s">
        <v>58</v>
      </c>
      <c r="H30" s="3"/>
      <c r="I30" s="20" t="s">
        <v>62</v>
      </c>
      <c r="J30" s="2"/>
      <c r="K30" s="17" t="s">
        <v>59</v>
      </c>
      <c r="L30" s="21"/>
      <c r="M30" s="20" t="s">
        <v>62</v>
      </c>
      <c r="N30" s="2"/>
      <c r="O30" s="17" t="s">
        <v>59</v>
      </c>
      <c r="P30" s="3"/>
      <c r="Q30" s="20" t="s">
        <v>62</v>
      </c>
      <c r="R30" s="2"/>
      <c r="S30" s="17" t="s">
        <v>59</v>
      </c>
      <c r="T30" s="1"/>
      <c r="U30" s="45" t="s">
        <v>62</v>
      </c>
      <c r="V30" s="2"/>
      <c r="W30" s="17" t="s">
        <v>59</v>
      </c>
      <c r="X30" s="3"/>
    </row>
    <row r="31" spans="1:30" ht="15.75" customHeight="1">
      <c r="A31" s="20" t="s">
        <v>63</v>
      </c>
      <c r="B31" s="2"/>
      <c r="C31" s="52" t="s">
        <v>64</v>
      </c>
      <c r="D31" s="3"/>
      <c r="E31" s="20" t="s">
        <v>63</v>
      </c>
      <c r="F31" s="2"/>
      <c r="G31" s="52" t="s">
        <v>65</v>
      </c>
      <c r="H31" s="3"/>
      <c r="I31" s="20" t="s">
        <v>63</v>
      </c>
      <c r="J31" s="2"/>
      <c r="K31" s="17" t="s">
        <v>65</v>
      </c>
      <c r="L31" s="3"/>
      <c r="M31" s="20" t="s">
        <v>63</v>
      </c>
      <c r="N31" s="2"/>
      <c r="O31" s="17" t="s">
        <v>64</v>
      </c>
      <c r="P31" s="3"/>
      <c r="Q31" s="20" t="s">
        <v>63</v>
      </c>
      <c r="R31" s="2"/>
      <c r="S31" s="17" t="s">
        <v>64</v>
      </c>
      <c r="T31" s="1"/>
      <c r="U31" s="45" t="s">
        <v>63</v>
      </c>
      <c r="V31" s="2"/>
      <c r="W31" s="17" t="s">
        <v>64</v>
      </c>
      <c r="X31" s="3"/>
    </row>
    <row r="32" spans="1:30" ht="15.75" customHeight="1">
      <c r="A32" s="20" t="s">
        <v>66</v>
      </c>
      <c r="B32" s="2"/>
      <c r="C32" s="5" t="str">
        <f>IF(C26&gt;B981, "Positive", "Negative")</f>
        <v>Negative</v>
      </c>
      <c r="D32" s="3"/>
      <c r="E32" s="20" t="s">
        <v>66</v>
      </c>
      <c r="F32" s="2"/>
      <c r="G32" s="5" t="str">
        <f>IF(G26&gt;B981, "Positive", "Negative")</f>
        <v>Positive</v>
      </c>
      <c r="H32" s="3"/>
      <c r="I32" s="20" t="s">
        <v>66</v>
      </c>
      <c r="J32" s="2"/>
      <c r="K32" s="5" t="str">
        <f>IF(K26&gt;B981, "Positive", "Negative")</f>
        <v>Positive</v>
      </c>
      <c r="L32" s="3"/>
      <c r="M32" s="20" t="s">
        <v>66</v>
      </c>
      <c r="N32" s="2"/>
      <c r="O32" s="5" t="str">
        <f>IF(O26&gt;B981, "Positive", "Negative")</f>
        <v>Negative</v>
      </c>
      <c r="P32" s="3"/>
      <c r="Q32" s="20" t="s">
        <v>66</v>
      </c>
      <c r="R32" s="2"/>
      <c r="S32" s="5" t="str">
        <f>IF(S26&gt;$B$981, "Positive", "Negative")</f>
        <v>Negative</v>
      </c>
      <c r="T32" s="1"/>
      <c r="U32" s="45" t="s">
        <v>66</v>
      </c>
      <c r="V32" s="2"/>
      <c r="W32" s="5" t="str">
        <f>IF(W26&gt;$B$981, "Positive", "Negative")</f>
        <v>Negative</v>
      </c>
      <c r="X32" s="3"/>
    </row>
    <row r="33" spans="1:24" ht="15.75" customHeight="1">
      <c r="A33" s="20" t="s">
        <v>67</v>
      </c>
      <c r="B33" s="2"/>
      <c r="C33" s="17" t="s">
        <v>68</v>
      </c>
      <c r="D33" s="3"/>
      <c r="E33" s="20" t="s">
        <v>67</v>
      </c>
      <c r="F33" s="2"/>
      <c r="G33" s="5"/>
      <c r="H33" s="3"/>
      <c r="I33" s="20" t="s">
        <v>67</v>
      </c>
      <c r="J33" s="2"/>
      <c r="K33" s="5"/>
      <c r="L33" s="3"/>
      <c r="M33" s="20" t="s">
        <v>67</v>
      </c>
      <c r="N33" s="2"/>
      <c r="O33" s="5"/>
      <c r="P33" s="3"/>
      <c r="Q33" s="20" t="s">
        <v>67</v>
      </c>
      <c r="R33" s="2"/>
      <c r="S33" s="5"/>
      <c r="T33" s="1"/>
      <c r="U33" s="45" t="s">
        <v>67</v>
      </c>
      <c r="V33" s="2"/>
      <c r="W33" s="5"/>
      <c r="X33" s="3"/>
    </row>
    <row r="34" spans="1:24" ht="15.75" customHeight="1">
      <c r="D34" s="1"/>
      <c r="H34" s="1"/>
      <c r="L34" s="1"/>
      <c r="P34" s="3"/>
      <c r="T34" s="1"/>
      <c r="U34" s="4"/>
      <c r="V34" s="2"/>
      <c r="W34" s="2"/>
      <c r="X34" s="3"/>
    </row>
    <row r="35" spans="1:24" ht="15.75" customHeight="1">
      <c r="D35" s="1"/>
      <c r="H35" s="1"/>
      <c r="L35" s="1"/>
      <c r="P35" s="1"/>
      <c r="T35" s="1"/>
      <c r="U35" s="4"/>
      <c r="V35" s="2"/>
      <c r="W35" s="2"/>
      <c r="X35" s="3"/>
    </row>
    <row r="36" spans="1:24" ht="15.75" customHeight="1">
      <c r="A36" s="5" t="s">
        <v>33</v>
      </c>
      <c r="B36" s="2"/>
      <c r="C36" s="25" t="s">
        <v>69</v>
      </c>
      <c r="D36" s="3"/>
      <c r="E36" s="5" t="s">
        <v>33</v>
      </c>
      <c r="F36" s="2"/>
      <c r="G36" s="25" t="s">
        <v>70</v>
      </c>
      <c r="H36" s="3"/>
      <c r="I36" s="5" t="s">
        <v>33</v>
      </c>
      <c r="J36" s="2"/>
      <c r="K36" s="25" t="s">
        <v>71</v>
      </c>
      <c r="L36" s="3"/>
      <c r="M36" s="5" t="s">
        <v>33</v>
      </c>
      <c r="N36" s="2"/>
      <c r="O36" s="25" t="s">
        <v>72</v>
      </c>
      <c r="P36" s="1"/>
      <c r="Q36" s="5" t="s">
        <v>33</v>
      </c>
      <c r="R36" s="2"/>
      <c r="S36" s="25" t="s">
        <v>73</v>
      </c>
      <c r="T36" s="1"/>
      <c r="U36" s="26" t="s">
        <v>33</v>
      </c>
      <c r="V36" s="2"/>
      <c r="W36" s="18" t="s">
        <v>74</v>
      </c>
      <c r="X36" s="3"/>
    </row>
    <row r="37" spans="1:24" ht="15.75" customHeight="1">
      <c r="A37" s="5" t="s">
        <v>40</v>
      </c>
      <c r="B37" s="2"/>
      <c r="C37" s="25" t="s">
        <v>41</v>
      </c>
      <c r="D37" s="3"/>
      <c r="E37" s="5" t="s">
        <v>40</v>
      </c>
      <c r="F37" s="2"/>
      <c r="G37" s="25" t="s">
        <v>42</v>
      </c>
      <c r="H37" s="3"/>
      <c r="I37" s="5" t="s">
        <v>40</v>
      </c>
      <c r="J37" s="2"/>
      <c r="K37" s="25" t="s">
        <v>43</v>
      </c>
      <c r="L37" s="3"/>
      <c r="M37" s="5" t="s">
        <v>40</v>
      </c>
      <c r="N37" s="2"/>
      <c r="O37" s="25" t="s">
        <v>44</v>
      </c>
      <c r="P37" s="3"/>
      <c r="Q37" s="5" t="s">
        <v>40</v>
      </c>
      <c r="R37" s="2"/>
      <c r="S37" s="25" t="s">
        <v>44</v>
      </c>
      <c r="T37" s="1"/>
      <c r="U37" s="26" t="s">
        <v>40</v>
      </c>
      <c r="V37" s="2"/>
      <c r="W37" s="37" t="s">
        <v>44</v>
      </c>
      <c r="X37" s="3"/>
    </row>
    <row r="38" spans="1:24" ht="15.75" customHeight="1">
      <c r="A38" s="30" t="s">
        <v>45</v>
      </c>
      <c r="B38" s="22"/>
      <c r="C38" s="53">
        <f ca="1">IFERROR(__xludf.DUMMYFUNCTION("VLOOKUP(C36,IMPORTRANGE(""12tmwbDwibV62zKOh4wo_LVGcWqZMQb_Z7Ed4DSpUlqQ"",""A1:I150""), 2, 0)"),43372)</f>
        <v>43372</v>
      </c>
      <c r="D38" s="32"/>
      <c r="E38" s="30" t="s">
        <v>45</v>
      </c>
      <c r="F38" s="22"/>
      <c r="G38" s="53">
        <f ca="1">IFERROR(__xludf.DUMMYFUNCTION("VLOOKUP(G36,IMPORTRANGE(""12tmwbDwibV62zKOh4wo_LVGcWqZMQb_Z7Ed4DSpUlqQ"",""A1:I150""), 2, 0)"),43402)</f>
        <v>43402</v>
      </c>
      <c r="H38" s="32"/>
      <c r="I38" s="30" t="s">
        <v>45</v>
      </c>
      <c r="J38" s="22"/>
      <c r="K38" s="54">
        <f ca="1">IFERROR(__xludf.DUMMYFUNCTION("VLOOKUP(K36,IMPORTRANGE(""12tmwbDwibV62zKOh4wo_LVGcWqZMQb_Z7Ed4DSpUlqQ"",""A1:I150""), 2, 0)"),43417)</f>
        <v>43417</v>
      </c>
      <c r="L38" s="32"/>
      <c r="M38" s="30" t="s">
        <v>45</v>
      </c>
      <c r="N38" s="22"/>
      <c r="O38" s="55">
        <f ca="1">IFERROR(__xludf.DUMMYFUNCTION("VLOOKUP(O36,IMPORTRANGE(""12tmwbDwibV62zKOh4wo_LVGcWqZMQb_Z7Ed4DSpUlqQ"",""A1:I150""), 2, 0)"),43365)</f>
        <v>43365</v>
      </c>
      <c r="P38" s="3"/>
      <c r="Q38" s="30" t="s">
        <v>45</v>
      </c>
      <c r="R38" s="22"/>
      <c r="S38" s="56">
        <f ca="1">IFERROR(__xludf.DUMMYFUNCTION("VLOOKUP(O36,IMPORTRANGE(""12tmwbDwibV62zKOh4wo_LVGcWqZMQb_Z7Ed4DSpUlqQ"",""A1:I150""), 2, 0)"),43365)</f>
        <v>43365</v>
      </c>
      <c r="T38" s="1"/>
      <c r="U38" s="26" t="s">
        <v>45</v>
      </c>
      <c r="V38" s="2"/>
      <c r="W38" s="57">
        <f ca="1">IFERROR(__xludf.DUMMYFUNCTION("VLOOKUP(S36,IMPORTRANGE(""12tmwbDwibV62zKOh4wo_LVGcWqZMQb_Z7Ed4DSpUlqQ"",""A1:I150""), 2, 0)"),43395)</f>
        <v>43395</v>
      </c>
      <c r="X38" s="3"/>
    </row>
    <row r="39" spans="1:24" ht="15.75" customHeight="1">
      <c r="A39" s="37" t="s">
        <v>46</v>
      </c>
      <c r="B39" s="2"/>
      <c r="C39" s="16">
        <f ca="1">INT((A992-C38)/7)</f>
        <v>6</v>
      </c>
      <c r="D39" s="1"/>
      <c r="E39" s="37" t="s">
        <v>46</v>
      </c>
      <c r="F39" s="2"/>
      <c r="G39" s="16">
        <f ca="1">INT((A992-G38)/7)</f>
        <v>2</v>
      </c>
      <c r="H39" s="1"/>
      <c r="I39" s="37" t="s">
        <v>46</v>
      </c>
      <c r="J39" s="2"/>
      <c r="K39" s="16">
        <f ca="1">INT((A992-K38)/7)</f>
        <v>0</v>
      </c>
      <c r="L39" s="1"/>
      <c r="M39" s="37" t="s">
        <v>46</v>
      </c>
      <c r="N39" s="2"/>
      <c r="O39" s="16">
        <f ca="1">INT((A992-O38)/7)</f>
        <v>7</v>
      </c>
      <c r="P39" s="1"/>
      <c r="Q39" s="37" t="s">
        <v>46</v>
      </c>
      <c r="R39" s="2"/>
      <c r="S39" s="16">
        <f ca="1">INT((A992-S38)/7)</f>
        <v>7</v>
      </c>
      <c r="T39" s="1"/>
      <c r="U39" s="38" t="s">
        <v>46</v>
      </c>
      <c r="V39" s="2"/>
      <c r="W39" s="16">
        <f ca="1">INT(($A$992-W38)/7)</f>
        <v>3</v>
      </c>
      <c r="X39" s="3"/>
    </row>
    <row r="40" spans="1:24" ht="15.75" customHeight="1">
      <c r="A40" s="37" t="s">
        <v>47</v>
      </c>
      <c r="B40" s="2"/>
      <c r="C40" s="41">
        <f ca="1">IFERROR(__xludf.DUMMYFUNCTION("VLOOKUP(C36,IMPORTRANGE(""12tmwbDwibV62zKOh4wo_LVGcWqZMQb_Z7Ed4DSpUlqQ"",""A1:I150""), 9, 0)"),18)</f>
        <v>18</v>
      </c>
      <c r="D40" s="58"/>
      <c r="E40" s="37" t="s">
        <v>47</v>
      </c>
      <c r="F40" s="2"/>
      <c r="G40" s="41">
        <f ca="1">IFERROR(__xludf.DUMMYFUNCTION("VLOOKUP(G36,IMPORTRANGE(""12tmwbDwibV62zKOh4wo_LVGcWqZMQb_Z7Ed4DSpUlqQ"",""A1:I150""), 9, 0)"),7)</f>
        <v>7</v>
      </c>
      <c r="H40" s="58"/>
      <c r="I40" s="37" t="s">
        <v>47</v>
      </c>
      <c r="J40" s="2"/>
      <c r="K40" s="41">
        <f ca="1">IFERROR(__xludf.DUMMYFUNCTION("VLOOKUP(K36,IMPORTRANGE(""12tmwbDwibV62zKOh4wo_LVGcWqZMQb_Z7Ed4DSpUlqQ"",""A1:I150""), 9, 0)"),4)</f>
        <v>4</v>
      </c>
      <c r="L40" s="58"/>
      <c r="M40" s="37" t="s">
        <v>47</v>
      </c>
      <c r="N40" s="2"/>
      <c r="O40" s="41">
        <f ca="1">IFERROR(__xludf.DUMMYFUNCTION("VLOOKUP(O36,IMPORTRANGE(""12tmwbDwibV62zKOh4wo_LVGcWqZMQb_Z7Ed4DSpUlqQ"",""A1:I150""), 9, 0)"),1)</f>
        <v>1</v>
      </c>
      <c r="P40" s="3"/>
      <c r="Q40" s="37" t="s">
        <v>47</v>
      </c>
      <c r="R40" s="2"/>
      <c r="S40" s="41">
        <f ca="1">IFERROR(__xludf.DUMMYFUNCTION("VLOOKUP(S36,IMPORTRANGE(""12tmwbDwibV62zKOh4wo_LVGcWqZMQb_Z7Ed4DSpUlqQ"",""A1:I150""), 9, 0)"),1)</f>
        <v>1</v>
      </c>
      <c r="T40" s="1"/>
      <c r="U40" s="38" t="s">
        <v>47</v>
      </c>
      <c r="V40" s="2"/>
      <c r="W40" s="41">
        <f ca="1">IFERROR(__xludf.DUMMYFUNCTION("VLOOKUP(W36,IMPORTRANGE(""12tmwbDwibV62zKOh4wo_LVGcWqZMQb_Z7Ed4DSpUlqQ"",""A1:I150""), 9, 0)"),0)</f>
        <v>0</v>
      </c>
      <c r="X40" s="3"/>
    </row>
    <row r="41" spans="1:24" ht="15.75" customHeight="1">
      <c r="A41" s="5" t="s">
        <v>48</v>
      </c>
      <c r="B41" s="2"/>
      <c r="C41" s="5" t="str">
        <f ca="1">IFERROR(__xludf.DUMMYFUNCTION("IF(VLOOKUP(C36,IMPORTRANGE(""12tmwbDwibV62zKOh4wo_LVGcWqZMQb_Z7Ed4DSpUlqQ"",""A1:I150""), 4, 0)=""LOA"", ""LOA"", IF(C49=B980, ""Undefined"", IF(C49&lt;B979, ""Inactive"", IF(C49&lt;B978, ""Semi-Active"", IF(C49&lt;B977, ""Active"", IF(C49&gt;B976, ""No-Lifer""))))))"),"Active")</f>
        <v>Active</v>
      </c>
      <c r="D41" s="3"/>
      <c r="E41" s="5" t="s">
        <v>48</v>
      </c>
      <c r="F41" s="2"/>
      <c r="G41" s="5" t="str">
        <f ca="1">IFERROR(__xludf.DUMMYFUNCTION("IF(VLOOKUP(G36,IMPORTRANGE(""12tmwbDwibV62zKOh4wo_LVGcWqZMQb_Z7Ed4DSpUlqQ"",""A1:I150""), 4, 0)=""LOA"", ""LOA"", IF(G49=B980, ""Undefined"", IF(G49&lt;B979, ""Inactive"", IF(G49&lt;B978, ""Semi-Active"", IF(G49&lt;B977, ""Active"", IF(G49&gt;B976, ""No-Lifer""))))))"),"Inactive")</f>
        <v>Inactive</v>
      </c>
      <c r="H41" s="3"/>
      <c r="I41" s="5" t="s">
        <v>48</v>
      </c>
      <c r="J41" s="2"/>
      <c r="K41" s="5" t="str">
        <f ca="1">IFERROR(__xludf.DUMMYFUNCTION("IF(VLOOKUP(K36,IMPORTRANGE(""12tmwbDwibV62zKOh4wo_LVGcWqZMQb_Z7Ed4DSpUlqQ"",""A1:I150""), 4, 0)=""LOA"", ""LOA"", IF(K49=B980, ""Undefined"", IF(K49&lt;B979, ""Inactive"", IF(K49&lt;B978, ""Semi-Active"", IF(K49&lt;B977, ""Active"", IF(K49&gt;B976, ""No-Lifer""))))))"),"Active")</f>
        <v>Active</v>
      </c>
      <c r="L41" s="3"/>
      <c r="M41" s="5" t="s">
        <v>48</v>
      </c>
      <c r="N41" s="2"/>
      <c r="O41" s="5" t="str">
        <f ca="1">IFERROR(__xludf.DUMMYFUNCTION("IF(VLOOKUP(O36,IMPORTRANGE(""12tmwbDwibV62zKOh4wo_LVGcWqZMQb_Z7Ed4DSpUlqQ"",""A1:I150""), 4, 0)=""LOA"", ""LOA"", IF(O49=B980, ""Undefined"", IF(O49&lt;B979, ""Inactive"", IF(O49&lt;B978, ""Semi-Active"", IF(O49&lt;B977, ""Active"", IF(O49&gt;B976, ""No-Lifer""))))))"),"Undefined")</f>
        <v>Undefined</v>
      </c>
      <c r="P41" s="3"/>
      <c r="Q41" s="5" t="s">
        <v>48</v>
      </c>
      <c r="R41" s="2"/>
      <c r="S41" s="5" t="str">
        <f ca="1">IFERROR(__xludf.DUMMYFUNCTION("IF(VLOOKUP(S36,IMPORTRANGE(""12tmwbDwibV62zKOh4wo_LVGcWqZMQb_Z7Ed4DSpUlqQ"",""A1:I150""), 4, 0)=""LOA"", ""LOA"", IF(S49=B980, ""Undefined"", IF(S49&lt;B979, ""Inactive"", IF(S49&lt;B978, ""Semi-Active"", IF(S49&lt;B977, ""Active"", IF(S49&gt;B976, ""No-Lifer""))))))"),"No-Lifer")</f>
        <v>No-Lifer</v>
      </c>
      <c r="T41" s="1"/>
      <c r="U41" s="26" t="s">
        <v>48</v>
      </c>
      <c r="V41" s="2"/>
      <c r="W41" s="5" t="str">
        <f ca="1">IFERROR(__xludf.DUMMYFUNCTION("IF(VLOOKUP(W36,IMPORTRANGE(""12tmwbDwibV62zKOh4wo_LVGcWqZMQb_Z7Ed4DSpUlqQ"",""A1:I150""), 4, 0)=""LOA"", ""LOA"", IF(W49=$B$980, ""Undefined"", IF(W49&lt;$B$979, ""Inactive"", IF(W49&lt;$B$978, ""Semi-Active"", IF(W49&lt;$B$977, ""Active"", IF(W49&gt;$B$976, ""No-Lif"&amp;"er""))))))"),"Inactive")</f>
        <v>Inactive</v>
      </c>
      <c r="X41" s="3"/>
    </row>
    <row r="42" spans="1:24" ht="15.75" customHeight="1">
      <c r="A42" s="15" t="s">
        <v>49</v>
      </c>
      <c r="B42" s="2"/>
      <c r="C42" s="44">
        <v>0</v>
      </c>
      <c r="D42" s="3"/>
      <c r="E42" s="15" t="s">
        <v>49</v>
      </c>
      <c r="F42" s="2"/>
      <c r="G42" s="44">
        <v>0</v>
      </c>
      <c r="H42" s="3"/>
      <c r="I42" s="15" t="s">
        <v>49</v>
      </c>
      <c r="J42" s="2"/>
      <c r="K42" s="44">
        <v>0</v>
      </c>
      <c r="L42" s="3"/>
      <c r="M42" s="15" t="s">
        <v>49</v>
      </c>
      <c r="N42" s="2"/>
      <c r="O42" s="44">
        <v>0</v>
      </c>
      <c r="P42" s="3"/>
      <c r="Q42" s="15" t="s">
        <v>49</v>
      </c>
      <c r="R42" s="2"/>
      <c r="S42" s="44">
        <v>0</v>
      </c>
      <c r="T42" s="1"/>
      <c r="U42" s="38" t="s">
        <v>49</v>
      </c>
      <c r="V42" s="2"/>
      <c r="W42" s="23">
        <v>0</v>
      </c>
      <c r="X42" s="3"/>
    </row>
    <row r="43" spans="1:24" ht="15.75" customHeight="1">
      <c r="A43" s="15" t="s">
        <v>50</v>
      </c>
      <c r="B43" s="2"/>
      <c r="C43" s="44">
        <v>0</v>
      </c>
      <c r="D43" s="3"/>
      <c r="E43" s="15" t="s">
        <v>50</v>
      </c>
      <c r="F43" s="2"/>
      <c r="G43" s="44">
        <v>0</v>
      </c>
      <c r="H43" s="3"/>
      <c r="I43" s="15" t="s">
        <v>50</v>
      </c>
      <c r="J43" s="2"/>
      <c r="K43" s="44">
        <v>0</v>
      </c>
      <c r="L43" s="3"/>
      <c r="M43" s="15" t="s">
        <v>50</v>
      </c>
      <c r="N43" s="2"/>
      <c r="O43" s="44">
        <v>0</v>
      </c>
      <c r="P43" s="3"/>
      <c r="Q43" s="15" t="s">
        <v>50</v>
      </c>
      <c r="R43" s="2"/>
      <c r="S43" s="44">
        <v>0</v>
      </c>
      <c r="T43" s="1"/>
      <c r="U43" s="38" t="s">
        <v>50</v>
      </c>
      <c r="V43" s="2"/>
      <c r="W43" s="23">
        <v>0</v>
      </c>
      <c r="X43" s="3"/>
    </row>
    <row r="44" spans="1:24" ht="15.75" customHeight="1">
      <c r="A44" s="20" t="s">
        <v>51</v>
      </c>
      <c r="B44" s="2"/>
      <c r="C44" s="44">
        <v>0</v>
      </c>
      <c r="D44" s="3"/>
      <c r="E44" s="20" t="s">
        <v>51</v>
      </c>
      <c r="F44" s="2"/>
      <c r="G44" s="44">
        <v>0</v>
      </c>
      <c r="H44" s="3"/>
      <c r="I44" s="20" t="s">
        <v>51</v>
      </c>
      <c r="J44" s="2"/>
      <c r="K44" s="44">
        <v>1</v>
      </c>
      <c r="L44" s="3"/>
      <c r="M44" s="20" t="s">
        <v>51</v>
      </c>
      <c r="N44" s="2"/>
      <c r="O44" s="44">
        <v>0</v>
      </c>
      <c r="P44" s="3"/>
      <c r="Q44" s="20" t="s">
        <v>51</v>
      </c>
      <c r="R44" s="2"/>
      <c r="S44" s="44">
        <v>1</v>
      </c>
      <c r="T44" s="1"/>
      <c r="U44" s="45" t="s">
        <v>51</v>
      </c>
      <c r="V44" s="2"/>
      <c r="W44" s="23">
        <v>0</v>
      </c>
      <c r="X44" s="3"/>
    </row>
    <row r="45" spans="1:24" ht="15.75" customHeight="1">
      <c r="A45" s="20" t="s">
        <v>52</v>
      </c>
      <c r="B45" s="2"/>
      <c r="C45" s="44">
        <v>3</v>
      </c>
      <c r="D45" s="3"/>
      <c r="E45" s="20" t="s">
        <v>52</v>
      </c>
      <c r="F45" s="2"/>
      <c r="G45" s="44">
        <v>0</v>
      </c>
      <c r="H45" s="3"/>
      <c r="I45" s="20" t="s">
        <v>52</v>
      </c>
      <c r="J45" s="2"/>
      <c r="K45" s="44">
        <v>0</v>
      </c>
      <c r="L45" s="3"/>
      <c r="M45" s="20" t="s">
        <v>52</v>
      </c>
      <c r="N45" s="2"/>
      <c r="O45" s="44">
        <v>0</v>
      </c>
      <c r="P45" s="3"/>
      <c r="Q45" s="20" t="s">
        <v>52</v>
      </c>
      <c r="R45" s="2"/>
      <c r="S45" s="44">
        <v>0</v>
      </c>
      <c r="T45" s="1"/>
      <c r="U45" s="45" t="s">
        <v>52</v>
      </c>
      <c r="V45" s="2"/>
      <c r="W45" s="23">
        <v>0</v>
      </c>
      <c r="X45" s="3"/>
    </row>
    <row r="46" spans="1:24" ht="15.75" customHeight="1">
      <c r="A46" s="20" t="s">
        <v>53</v>
      </c>
      <c r="B46" s="2"/>
      <c r="C46" s="44">
        <v>4</v>
      </c>
      <c r="D46" s="3"/>
      <c r="E46" s="20" t="s">
        <v>53</v>
      </c>
      <c r="F46" s="2"/>
      <c r="G46" s="44">
        <v>1</v>
      </c>
      <c r="H46" s="3"/>
      <c r="I46" s="20" t="s">
        <v>53</v>
      </c>
      <c r="J46" s="2"/>
      <c r="K46" s="44">
        <v>3</v>
      </c>
      <c r="L46" s="3"/>
      <c r="M46" s="20" t="s">
        <v>53</v>
      </c>
      <c r="N46" s="2"/>
      <c r="O46" s="44">
        <v>0</v>
      </c>
      <c r="P46" s="3"/>
      <c r="Q46" s="20" t="s">
        <v>53</v>
      </c>
      <c r="R46" s="2"/>
      <c r="S46" s="44">
        <v>7</v>
      </c>
      <c r="T46" s="1"/>
      <c r="U46" s="45" t="s">
        <v>53</v>
      </c>
      <c r="V46" s="2"/>
      <c r="W46" s="23">
        <v>1</v>
      </c>
      <c r="X46" s="3"/>
    </row>
    <row r="47" spans="1:24" ht="15.75" customHeight="1">
      <c r="A47" s="24" t="s">
        <v>54</v>
      </c>
      <c r="B47" s="2"/>
      <c r="C47" s="44">
        <v>0</v>
      </c>
      <c r="D47" s="3"/>
      <c r="E47" s="24" t="s">
        <v>54</v>
      </c>
      <c r="F47" s="2"/>
      <c r="G47" s="44">
        <v>0</v>
      </c>
      <c r="H47" s="3"/>
      <c r="I47" s="24" t="s">
        <v>54</v>
      </c>
      <c r="J47" s="2"/>
      <c r="K47" s="44">
        <v>2</v>
      </c>
      <c r="L47" s="3"/>
      <c r="M47" s="24" t="s">
        <v>54</v>
      </c>
      <c r="N47" s="2"/>
      <c r="O47" s="44">
        <v>0</v>
      </c>
      <c r="P47" s="3"/>
      <c r="Q47" s="24" t="s">
        <v>54</v>
      </c>
      <c r="R47" s="2"/>
      <c r="S47" s="44">
        <v>1</v>
      </c>
      <c r="T47" s="1"/>
      <c r="U47" s="46" t="s">
        <v>54</v>
      </c>
      <c r="V47" s="2"/>
      <c r="W47" s="23">
        <v>0</v>
      </c>
      <c r="X47" s="3"/>
    </row>
    <row r="48" spans="1:24" ht="15.75" customHeight="1">
      <c r="A48" s="20" t="s">
        <v>55</v>
      </c>
      <c r="B48" s="2"/>
      <c r="C48" s="44">
        <v>0</v>
      </c>
      <c r="D48" s="3"/>
      <c r="E48" s="20" t="s">
        <v>55</v>
      </c>
      <c r="F48" s="2"/>
      <c r="G48" s="44">
        <v>1</v>
      </c>
      <c r="H48" s="3"/>
      <c r="I48" s="20" t="s">
        <v>55</v>
      </c>
      <c r="J48" s="2"/>
      <c r="K48" s="44">
        <v>1</v>
      </c>
      <c r="L48" s="3"/>
      <c r="M48" s="20" t="s">
        <v>55</v>
      </c>
      <c r="N48" s="2"/>
      <c r="O48" s="44">
        <v>0</v>
      </c>
      <c r="P48" s="3"/>
      <c r="Q48" s="20" t="s">
        <v>55</v>
      </c>
      <c r="R48" s="2"/>
      <c r="S48" s="44">
        <v>3</v>
      </c>
      <c r="T48" s="1"/>
      <c r="U48" s="45" t="s">
        <v>55</v>
      </c>
      <c r="V48" s="2"/>
      <c r="W48" s="23">
        <v>0</v>
      </c>
      <c r="X48" s="3"/>
    </row>
    <row r="49" spans="1:24">
      <c r="A49" s="24" t="s">
        <v>56</v>
      </c>
      <c r="B49" s="2"/>
      <c r="C49" s="48">
        <f>(C42*B983)+(C43*B984)+(C44*B985)+(C45*B986)+(C46*B987)+(C47*B988)+(C48*B989)</f>
        <v>8.5</v>
      </c>
      <c r="D49" s="3"/>
      <c r="E49" s="24" t="s">
        <v>56</v>
      </c>
      <c r="F49" s="2"/>
      <c r="G49" s="48">
        <f>(G42*B983)+(G43*B984)+(G44*B985)+(G45*B986)+(G46*B987)+(G47*B988)+(G48*B989)</f>
        <v>3</v>
      </c>
      <c r="H49" s="3"/>
      <c r="I49" s="24" t="s">
        <v>56</v>
      </c>
      <c r="J49" s="2"/>
      <c r="K49" s="29">
        <f>(K42*B983)+(K43*B984)+(K44*B985)+(K45*B986)+(K46*B987)+(K47*B988)+(K48*B989)</f>
        <v>14.5</v>
      </c>
      <c r="L49" s="3"/>
      <c r="M49" s="24" t="s">
        <v>56</v>
      </c>
      <c r="N49" s="2"/>
      <c r="O49" s="29">
        <f>(O42*B983)+(O43*B984)+(O44*B985)+(O45*B986)+(O46*B987)+(O47*B988)+(O48*B989)</f>
        <v>0</v>
      </c>
      <c r="P49" s="3"/>
      <c r="Q49" s="24" t="s">
        <v>56</v>
      </c>
      <c r="R49" s="2"/>
      <c r="S49" s="29">
        <f>(S42*B983)+(S43*B984)+(S44*B985)+(S45*B986)+(S46*B987)+(S47*B988)+(S48*B989)</f>
        <v>18.5</v>
      </c>
      <c r="T49" s="1"/>
      <c r="U49" s="46" t="s">
        <v>56</v>
      </c>
      <c r="V49" s="2"/>
      <c r="W49" s="29">
        <f>(W42*$B$983)+(W43*$B$984)+(W44*$B$985)+(W45*$B$986)+(W46*$B$987)+(W47*$B$988)+(W48*$B$989)</f>
        <v>1</v>
      </c>
      <c r="X49" s="3"/>
    </row>
    <row r="50" spans="1:24" ht="15.75" customHeight="1">
      <c r="A50" s="20" t="s">
        <v>57</v>
      </c>
      <c r="B50" s="2"/>
      <c r="C50" s="51" t="s">
        <v>58</v>
      </c>
      <c r="D50" s="3"/>
      <c r="E50" s="20" t="s">
        <v>57</v>
      </c>
      <c r="F50" s="2"/>
      <c r="G50" s="51" t="s">
        <v>58</v>
      </c>
      <c r="H50" s="3"/>
      <c r="I50" s="20" t="s">
        <v>57</v>
      </c>
      <c r="J50" s="2"/>
      <c r="K50" s="51" t="s">
        <v>59</v>
      </c>
      <c r="L50" s="3"/>
      <c r="M50" s="20" t="s">
        <v>57</v>
      </c>
      <c r="N50" s="2"/>
      <c r="O50" s="51" t="s">
        <v>59</v>
      </c>
      <c r="P50" s="3"/>
      <c r="Q50" s="20" t="s">
        <v>57</v>
      </c>
      <c r="R50" s="2"/>
      <c r="S50" s="51" t="s">
        <v>59</v>
      </c>
      <c r="T50" s="1"/>
      <c r="U50" s="45" t="s">
        <v>57</v>
      </c>
      <c r="V50" s="2"/>
      <c r="W50" s="17" t="s">
        <v>59</v>
      </c>
      <c r="X50" s="3"/>
    </row>
    <row r="51" spans="1:24" ht="15.75" customHeight="1">
      <c r="A51" s="20" t="s">
        <v>60</v>
      </c>
      <c r="B51" s="2"/>
      <c r="C51" s="51" t="s">
        <v>58</v>
      </c>
      <c r="D51" s="3"/>
      <c r="E51" s="20" t="s">
        <v>60</v>
      </c>
      <c r="F51" s="2"/>
      <c r="G51" s="51" t="s">
        <v>58</v>
      </c>
      <c r="H51" s="3"/>
      <c r="I51" s="20" t="s">
        <v>60</v>
      </c>
      <c r="J51" s="2"/>
      <c r="K51" s="51" t="s">
        <v>59</v>
      </c>
      <c r="L51" s="3"/>
      <c r="M51" s="20" t="s">
        <v>60</v>
      </c>
      <c r="N51" s="2"/>
      <c r="O51" s="51" t="s">
        <v>59</v>
      </c>
      <c r="P51" s="3"/>
      <c r="Q51" s="20" t="s">
        <v>60</v>
      </c>
      <c r="R51" s="2"/>
      <c r="S51" s="51" t="s">
        <v>59</v>
      </c>
      <c r="T51" s="1"/>
      <c r="U51" s="45" t="s">
        <v>60</v>
      </c>
      <c r="V51" s="2"/>
      <c r="W51" s="17" t="s">
        <v>59</v>
      </c>
      <c r="X51" s="3"/>
    </row>
    <row r="52" spans="1:24" ht="15.75" customHeight="1">
      <c r="A52" s="20" t="s">
        <v>61</v>
      </c>
      <c r="B52" s="2"/>
      <c r="C52" s="17" t="s">
        <v>58</v>
      </c>
      <c r="D52" s="3"/>
      <c r="E52" s="20" t="s">
        <v>61</v>
      </c>
      <c r="F52" s="2"/>
      <c r="G52" s="17" t="s">
        <v>58</v>
      </c>
      <c r="H52" s="3"/>
      <c r="I52" s="20" t="s">
        <v>61</v>
      </c>
      <c r="J52" s="2"/>
      <c r="K52" s="17" t="s">
        <v>59</v>
      </c>
      <c r="L52" s="3"/>
      <c r="M52" s="20" t="s">
        <v>61</v>
      </c>
      <c r="N52" s="2"/>
      <c r="O52" s="17" t="s">
        <v>59</v>
      </c>
      <c r="P52" s="3"/>
      <c r="Q52" s="20" t="s">
        <v>61</v>
      </c>
      <c r="R52" s="2"/>
      <c r="S52" s="17" t="s">
        <v>59</v>
      </c>
      <c r="T52" s="1"/>
      <c r="U52" s="45" t="s">
        <v>61</v>
      </c>
      <c r="V52" s="2"/>
      <c r="W52" s="17" t="s">
        <v>59</v>
      </c>
      <c r="X52" s="3"/>
    </row>
    <row r="53" spans="1:24" ht="15.75" customHeight="1">
      <c r="A53" s="20" t="s">
        <v>62</v>
      </c>
      <c r="B53" s="2"/>
      <c r="C53" s="17" t="s">
        <v>58</v>
      </c>
      <c r="D53" s="3"/>
      <c r="E53" s="20" t="s">
        <v>62</v>
      </c>
      <c r="F53" s="2"/>
      <c r="G53" s="17" t="s">
        <v>58</v>
      </c>
      <c r="H53" s="3"/>
      <c r="I53" s="20" t="s">
        <v>62</v>
      </c>
      <c r="J53" s="2"/>
      <c r="K53" s="17" t="s">
        <v>59</v>
      </c>
      <c r="L53" s="3"/>
      <c r="M53" s="20" t="s">
        <v>62</v>
      </c>
      <c r="N53" s="2"/>
      <c r="O53" s="17" t="s">
        <v>59</v>
      </c>
      <c r="P53" s="3"/>
      <c r="Q53" s="20" t="s">
        <v>62</v>
      </c>
      <c r="R53" s="2"/>
      <c r="S53" s="17" t="s">
        <v>59</v>
      </c>
      <c r="T53" s="1"/>
      <c r="U53" s="45" t="s">
        <v>62</v>
      </c>
      <c r="V53" s="2"/>
      <c r="W53" s="17" t="s">
        <v>59</v>
      </c>
      <c r="X53" s="3"/>
    </row>
    <row r="54" spans="1:24" ht="15.75" customHeight="1">
      <c r="A54" s="20" t="s">
        <v>63</v>
      </c>
      <c r="B54" s="2"/>
      <c r="C54" s="17" t="s">
        <v>75</v>
      </c>
      <c r="D54" s="3"/>
      <c r="E54" s="20" t="s">
        <v>63</v>
      </c>
      <c r="F54" s="2"/>
      <c r="G54" s="17" t="s">
        <v>64</v>
      </c>
      <c r="H54" s="3"/>
      <c r="I54" s="20" t="s">
        <v>63</v>
      </c>
      <c r="J54" s="2"/>
      <c r="K54" s="17" t="s">
        <v>64</v>
      </c>
      <c r="L54" s="3"/>
      <c r="M54" s="20" t="s">
        <v>63</v>
      </c>
      <c r="N54" s="2"/>
      <c r="O54" s="17" t="s">
        <v>64</v>
      </c>
      <c r="P54" s="3"/>
      <c r="Q54" s="20" t="s">
        <v>63</v>
      </c>
      <c r="R54" s="2"/>
      <c r="S54" s="17" t="s">
        <v>65</v>
      </c>
      <c r="T54" s="1"/>
      <c r="U54" s="45" t="s">
        <v>63</v>
      </c>
      <c r="V54" s="2"/>
      <c r="W54" s="17" t="s">
        <v>64</v>
      </c>
      <c r="X54" s="3"/>
    </row>
    <row r="55" spans="1:24" ht="15.75" customHeight="1">
      <c r="A55" s="20" t="s">
        <v>66</v>
      </c>
      <c r="B55" s="2"/>
      <c r="C55" s="5" t="str">
        <f>IF(C49&gt;B981, "Positive", "Negative")</f>
        <v>Positive</v>
      </c>
      <c r="D55" s="3"/>
      <c r="E55" s="20" t="s">
        <v>66</v>
      </c>
      <c r="F55" s="2"/>
      <c r="G55" s="5" t="str">
        <f>IF(G49&gt;B981, "Positive", "Negative")</f>
        <v>Negative</v>
      </c>
      <c r="H55" s="3"/>
      <c r="I55" s="20" t="s">
        <v>66</v>
      </c>
      <c r="J55" s="2"/>
      <c r="K55" s="5" t="str">
        <f>IF(K49&gt;B981, "Positive", "Negative")</f>
        <v>Positive</v>
      </c>
      <c r="L55" s="3"/>
      <c r="M55" s="20" t="s">
        <v>66</v>
      </c>
      <c r="N55" s="2"/>
      <c r="O55" s="5" t="str">
        <f>IF(O49&gt;B981, "Positive", "Negative")</f>
        <v>Negative</v>
      </c>
      <c r="P55" s="3"/>
      <c r="Q55" s="20" t="s">
        <v>66</v>
      </c>
      <c r="R55" s="2"/>
      <c r="S55" s="5" t="str">
        <f>IF(S49&gt;B981, "Positive", "Negative")</f>
        <v>Positive</v>
      </c>
      <c r="T55" s="1"/>
      <c r="U55" s="45" t="s">
        <v>66</v>
      </c>
      <c r="V55" s="2"/>
      <c r="W55" s="5" t="str">
        <f>IF(W49&gt;$B$981, "Positive", "Negative")</f>
        <v>Negative</v>
      </c>
      <c r="X55" s="3"/>
    </row>
    <row r="56" spans="1:24" ht="15.75" customHeight="1">
      <c r="A56" s="20" t="s">
        <v>67</v>
      </c>
      <c r="B56" s="2"/>
      <c r="C56" s="17" t="s">
        <v>68</v>
      </c>
      <c r="D56" s="3"/>
      <c r="E56" s="20" t="s">
        <v>67</v>
      </c>
      <c r="F56" s="2"/>
      <c r="G56" s="5"/>
      <c r="H56" s="3"/>
      <c r="I56" s="20" t="s">
        <v>67</v>
      </c>
      <c r="J56" s="2"/>
      <c r="K56" s="5"/>
      <c r="L56" s="1"/>
      <c r="M56" s="20" t="s">
        <v>67</v>
      </c>
      <c r="N56" s="2"/>
      <c r="O56" s="5"/>
      <c r="P56" s="3"/>
      <c r="Q56" s="20" t="s">
        <v>67</v>
      </c>
      <c r="R56" s="2"/>
      <c r="S56" s="5"/>
      <c r="T56" s="1"/>
      <c r="U56" s="45" t="s">
        <v>67</v>
      </c>
      <c r="V56" s="2"/>
      <c r="W56" s="5"/>
      <c r="X56" s="3"/>
    </row>
    <row r="57" spans="1:24" ht="15.75" customHeight="1">
      <c r="D57" s="1"/>
      <c r="H57" s="1"/>
      <c r="L57" s="1"/>
      <c r="P57" s="3"/>
      <c r="T57" s="1"/>
      <c r="U57" s="4"/>
      <c r="V57" s="2"/>
      <c r="W57" s="2"/>
      <c r="X57" s="3"/>
    </row>
    <row r="58" spans="1:24" ht="15.75" customHeight="1">
      <c r="D58" s="1"/>
      <c r="H58" s="1"/>
      <c r="L58" s="1"/>
      <c r="P58" s="1"/>
      <c r="T58" s="1"/>
      <c r="U58" s="4"/>
      <c r="V58" s="2"/>
      <c r="W58" s="2"/>
      <c r="X58" s="3"/>
    </row>
    <row r="59" spans="1:24" ht="15.75" customHeight="1">
      <c r="A59" s="5" t="s">
        <v>33</v>
      </c>
      <c r="B59" s="2"/>
      <c r="C59" s="25" t="s">
        <v>76</v>
      </c>
      <c r="D59" s="3"/>
      <c r="E59" s="5" t="s">
        <v>33</v>
      </c>
      <c r="F59" s="2"/>
      <c r="G59" s="25" t="s">
        <v>77</v>
      </c>
      <c r="H59" s="3"/>
      <c r="I59" s="5" t="s">
        <v>33</v>
      </c>
      <c r="J59" s="2"/>
      <c r="K59" s="25" t="s">
        <v>78</v>
      </c>
      <c r="L59" s="3"/>
      <c r="M59" s="5" t="s">
        <v>33</v>
      </c>
      <c r="N59" s="2"/>
      <c r="O59" s="17" t="s">
        <v>79</v>
      </c>
      <c r="P59" s="3"/>
      <c r="Q59" s="5" t="s">
        <v>33</v>
      </c>
      <c r="R59" s="2"/>
      <c r="S59" s="17" t="s">
        <v>80</v>
      </c>
      <c r="T59" s="1"/>
      <c r="U59" s="26" t="s">
        <v>33</v>
      </c>
      <c r="V59" s="2"/>
      <c r="W59" s="18" t="s">
        <v>81</v>
      </c>
      <c r="X59" s="3"/>
    </row>
    <row r="60" spans="1:24" ht="15.75" customHeight="1">
      <c r="A60" s="5" t="s">
        <v>40</v>
      </c>
      <c r="B60" s="2"/>
      <c r="C60" s="25" t="s">
        <v>41</v>
      </c>
      <c r="D60" s="3"/>
      <c r="E60" s="5" t="s">
        <v>40</v>
      </c>
      <c r="F60" s="2"/>
      <c r="G60" s="25" t="s">
        <v>77</v>
      </c>
      <c r="H60" s="3"/>
      <c r="I60" s="5" t="s">
        <v>40</v>
      </c>
      <c r="J60" s="2"/>
      <c r="K60" s="25" t="s">
        <v>43</v>
      </c>
      <c r="L60" s="3"/>
      <c r="M60" s="5" t="s">
        <v>40</v>
      </c>
      <c r="N60" s="2"/>
      <c r="O60" s="17" t="s">
        <v>44</v>
      </c>
      <c r="P60" s="32"/>
      <c r="Q60" s="5" t="s">
        <v>40</v>
      </c>
      <c r="R60" s="2"/>
      <c r="S60" s="17" t="s">
        <v>44</v>
      </c>
      <c r="T60" s="1"/>
      <c r="U60" s="26" t="s">
        <v>40</v>
      </c>
      <c r="V60" s="2"/>
      <c r="W60" s="37" t="s">
        <v>44</v>
      </c>
      <c r="X60" s="3"/>
    </row>
    <row r="61" spans="1:24" ht="15.75" customHeight="1">
      <c r="A61" s="30" t="s">
        <v>45</v>
      </c>
      <c r="B61" s="22"/>
      <c r="C61" s="53">
        <f ca="1">IFERROR(__xludf.DUMMYFUNCTION("VLOOKUP(C59,IMPORTRANGE(""12tmwbDwibV62zKOh4wo_LVGcWqZMQb_Z7Ed4DSpUlqQ"",""A1:I150""), 2, 0)"),43395)</f>
        <v>43395</v>
      </c>
      <c r="D61" s="32"/>
      <c r="E61" s="30" t="s">
        <v>45</v>
      </c>
      <c r="F61" s="22"/>
      <c r="G61" s="53" t="str">
        <f ca="1">IFERROR(__xludf.DUMMYFUNCTION("VLOOKUP(G59,IMPORTRANGE(""12tmwbDwibV62zKOh4wo_LVGcWqZMQb_Z7Ed4DSpUlqQ"",""A1:I150""), 2, 0)"),"N/A")</f>
        <v>N/A</v>
      </c>
      <c r="H61" s="32"/>
      <c r="I61" s="30" t="s">
        <v>45</v>
      </c>
      <c r="J61" s="22"/>
      <c r="K61" s="59">
        <f ca="1">IFERROR(__xludf.DUMMYFUNCTION("VLOOKUP(K59,IMPORTRANGE(""12tmwbDwibV62zKOh4wo_LVGcWqZMQb_Z7Ed4DSpUlqQ"",""A1:I150""), 2, 0)"),43407)</f>
        <v>43407</v>
      </c>
      <c r="L61" s="32"/>
      <c r="M61" s="30" t="s">
        <v>45</v>
      </c>
      <c r="N61" s="22"/>
      <c r="O61" s="60">
        <f ca="1">IFERROR(__xludf.DUMMYFUNCTION("VLOOKUP(O59,IMPORTRANGE(""12tmwbDwibV62zKOh4wo_LVGcWqZMQb_Z7Ed4DSpUlqQ"",""A1:I150""), 2, 0)"),43367)</f>
        <v>43367</v>
      </c>
      <c r="P61" s="3"/>
      <c r="Q61" s="30" t="s">
        <v>45</v>
      </c>
      <c r="R61" s="22"/>
      <c r="S61" s="60">
        <f ca="1">IFERROR(__xludf.DUMMYFUNCTION("VLOOKUP(S59,IMPORTRANGE(""12tmwbDwibV62zKOh4wo_LVGcWqZMQb_Z7Ed4DSpUlqQ"",""A1:I150""), 2, 0)"),43401)</f>
        <v>43401</v>
      </c>
      <c r="T61" s="1"/>
      <c r="U61" s="26" t="s">
        <v>45</v>
      </c>
      <c r="V61" s="2"/>
      <c r="W61" s="57">
        <f ca="1">IFERROR(__xludf.DUMMYFUNCTION("VLOOKUP(W59,IMPORTRANGE(""12tmwbDwibV62zKOh4wo_LVGcWqZMQb_Z7Ed4DSpUlqQ"",""A1:I150""), 2, 0)"),43415)</f>
        <v>43415</v>
      </c>
      <c r="X61" s="3"/>
    </row>
    <row r="62" spans="1:24" ht="15.75" customHeight="1">
      <c r="A62" s="37" t="s">
        <v>46</v>
      </c>
      <c r="B62" s="2"/>
      <c r="C62" s="16">
        <f ca="1">INT((A992-C61)/7)</f>
        <v>3</v>
      </c>
      <c r="D62" s="1"/>
      <c r="E62" s="37" t="s">
        <v>46</v>
      </c>
      <c r="F62" s="2"/>
      <c r="G62" s="16" t="e">
        <f ca="1">INT((A992-G61)/7)</f>
        <v>#VALUE!</v>
      </c>
      <c r="H62" s="1"/>
      <c r="I62" s="37" t="s">
        <v>46</v>
      </c>
      <c r="J62" s="2"/>
      <c r="K62" s="16">
        <f ca="1">INT((A992-K61)/7)</f>
        <v>1</v>
      </c>
      <c r="L62" s="1"/>
      <c r="M62" s="37" t="s">
        <v>46</v>
      </c>
      <c r="N62" s="2"/>
      <c r="O62" s="16">
        <f ca="1">INT((A992-O61)/7)</f>
        <v>7</v>
      </c>
      <c r="P62" s="3"/>
      <c r="Q62" s="37" t="s">
        <v>46</v>
      </c>
      <c r="R62" s="2"/>
      <c r="S62" s="16">
        <f ca="1">INT((A992-S61)/7)</f>
        <v>2</v>
      </c>
      <c r="T62" s="1"/>
      <c r="U62" s="38" t="s">
        <v>46</v>
      </c>
      <c r="V62" s="2"/>
      <c r="W62" s="16">
        <f ca="1">INT(($A$992-W61)/7)</f>
        <v>0</v>
      </c>
      <c r="X62" s="3"/>
    </row>
    <row r="63" spans="1:24" ht="15.75" customHeight="1">
      <c r="A63" s="37" t="s">
        <v>47</v>
      </c>
      <c r="B63" s="2"/>
      <c r="C63" s="41">
        <f ca="1">IFERROR(__xludf.DUMMYFUNCTION("VLOOKUP(C59,IMPORTRANGE(""12tmwbDwibV62zKOh4wo_LVGcWqZMQb_Z7Ed4DSpUlqQ"",""A1:I150""), 9, 0)"),16)</f>
        <v>16</v>
      </c>
      <c r="D63" s="1"/>
      <c r="E63" s="37" t="s">
        <v>47</v>
      </c>
      <c r="F63" s="2"/>
      <c r="G63" s="41" t="str">
        <f ca="1">IFERROR(__xludf.DUMMYFUNCTION("VLOOKUP(G59,IMPORTRANGE(""12tmwbDwibV62zKOh4wo_LVGcWqZMQb_Z7Ed4DSpUlqQ"",""A1:I150""), 9, 0)"),"N/A")</f>
        <v>N/A</v>
      </c>
      <c r="H63" s="1"/>
      <c r="I63" s="37" t="s">
        <v>47</v>
      </c>
      <c r="J63" s="2"/>
      <c r="K63" s="41">
        <f ca="1">IFERROR(__xludf.DUMMYFUNCTION("VLOOKUP(K59,IMPORTRANGE(""12tmwbDwibV62zKOh4wo_LVGcWqZMQb_Z7Ed4DSpUlqQ"",""A1:I150""), 9, 0)"),4)</f>
        <v>4</v>
      </c>
      <c r="L63" s="1"/>
      <c r="M63" s="37" t="s">
        <v>47</v>
      </c>
      <c r="N63" s="2"/>
      <c r="O63" s="41">
        <f ca="1">IFERROR(__xludf.DUMMYFUNCTION("VLOOKUP(O59,IMPORTRANGE(""12tmwbDwibV62zKOh4wo_LVGcWqZMQb_Z7Ed4DSpUlqQ"",""A1:I150""), 9, 0)"),1)</f>
        <v>1</v>
      </c>
      <c r="P63" s="3"/>
      <c r="Q63" s="37" t="s">
        <v>47</v>
      </c>
      <c r="R63" s="2"/>
      <c r="S63" s="41">
        <f ca="1">IFERROR(__xludf.DUMMYFUNCTION("VLOOKUP(S59,IMPORTRANGE(""12tmwbDwibV62zKOh4wo_LVGcWqZMQb_Z7Ed4DSpUlqQ"",""A1:I150""), 9, 0)"),1)</f>
        <v>1</v>
      </c>
      <c r="T63" s="1"/>
      <c r="U63" s="38" t="s">
        <v>47</v>
      </c>
      <c r="V63" s="2"/>
      <c r="W63" s="41">
        <f ca="1">IFERROR(__xludf.DUMMYFUNCTION("VLOOKUP(W59,IMPORTRANGE(""12tmwbDwibV62zKOh4wo_LVGcWqZMQb_Z7Ed4DSpUlqQ"",""A1:I150""), 9, 0)"),0)</f>
        <v>0</v>
      </c>
      <c r="X63" s="3"/>
    </row>
    <row r="64" spans="1:24" ht="15.75" customHeight="1">
      <c r="A64" s="5" t="s">
        <v>48</v>
      </c>
      <c r="B64" s="2"/>
      <c r="C64" s="5" t="str">
        <f ca="1">IFERROR(__xludf.DUMMYFUNCTION("IF(VLOOKUP(C59,IMPORTRANGE(""12tmwbDwibV62zKOh4wo_LVGcWqZMQb_Z7Ed4DSpUlqQ"",""A1:I150""), 4, 0)=""LOA"", ""LOA"", IF(C72=B980, ""Undefined"", IF(C72&lt;B979, ""Inactive"", IF(C72&lt;B978, ""Semi-Active"", IF(C72&lt;B977, ""Active"", IF(C72&gt;B976, ""No-Lifer""))))))"),"No-Lifer")</f>
        <v>No-Lifer</v>
      </c>
      <c r="D64" s="3"/>
      <c r="E64" s="5" t="s">
        <v>48</v>
      </c>
      <c r="F64" s="2"/>
      <c r="G64" s="5" t="str">
        <f ca="1">IFERROR(__xludf.DUMMYFUNCTION("IF(VLOOKUP(G59,IMPORTRANGE(""12tmwbDwibV62zKOh4wo_LVGcWqZMQb_Z7Ed4DSpUlqQ"",""A1:I150""), 4, 0)=""LOA"", ""LOA"", IF(G72=B980, ""Undefined"", IF(G72&lt;B979, ""Inactive"", IF(G72&lt;B978, ""Semi-Active"", IF(G72&lt;B977, ""Active"", IF(G72&gt;B976, ""No-Lifer""))))))"),"Undefined")</f>
        <v>Undefined</v>
      </c>
      <c r="H64" s="3"/>
      <c r="I64" s="5" t="s">
        <v>48</v>
      </c>
      <c r="J64" s="2"/>
      <c r="K64" s="5" t="str">
        <f ca="1">IFERROR(__xludf.DUMMYFUNCTION("IF(VLOOKUP(K59,IMPORTRANGE(""12tmwbDwibV62zKOh4wo_LVGcWqZMQb_Z7Ed4DSpUlqQ"",""A1:I150""), 4, 0)=""LOA"", ""LOA"", IF(K72=B980, ""Undefined"", IF(K72&lt;B979, ""Inactive"", IF(K72&lt;B978, ""Semi-Active"", IF(K72&lt;B977, ""Active"", IF(K72&gt;B976, ""No-Lifer""))))))"),"Inactive")</f>
        <v>Inactive</v>
      </c>
      <c r="L64" s="3"/>
      <c r="M64" s="5" t="s">
        <v>48</v>
      </c>
      <c r="N64" s="2"/>
      <c r="O64" s="5" t="str">
        <f ca="1">IFERROR(__xludf.DUMMYFUNCTION("IF(VLOOKUP(O59,IMPORTRANGE(""12tmwbDwibV62zKOh4wo_LVGcWqZMQb_Z7Ed4DSpUlqQ"",""A1:I150""), 4, 0)=""LOA"", ""LOA"", IF(O72=B980, ""Undefined"", IF(O72&lt;B979, ""Inactive"", IF(O72&lt;B978, ""Semi-Active"", IF(O72&lt;B977, ""Active"", IF(O72&gt;B976, ""No-Lifer""))))))"),"Undefined")</f>
        <v>Undefined</v>
      </c>
      <c r="P64" s="3"/>
      <c r="Q64" s="5" t="s">
        <v>48</v>
      </c>
      <c r="R64" s="2"/>
      <c r="S64" s="5" t="str">
        <f ca="1">IFERROR(__xludf.DUMMYFUNCTION("IF(VLOOKUP(S59,IMPORTRANGE(""12tmwbDwibV62zKOh4wo_LVGcWqZMQb_Z7Ed4DSpUlqQ"",""A1:I150""), 4, 0)=""LOA"", ""LOA"", IF(S72=B980, ""Undefined"", IF(S72&lt;B979, ""Inactive"", IF(S72&lt;B978, ""Semi-Active"", IF(S72&lt;B977, ""Active"", IF(S72&gt;B976, ""No-Lifer""))))))"),"No-Lifer")</f>
        <v>No-Lifer</v>
      </c>
      <c r="T64" s="1"/>
      <c r="U64" s="26" t="s">
        <v>48</v>
      </c>
      <c r="V64" s="2"/>
      <c r="W64" s="5" t="str">
        <f ca="1">IFERROR(__xludf.DUMMYFUNCTION("IF(VLOOKUP(W59,IMPORTRANGE(""12tmwbDwibV62zKOh4wo_LVGcWqZMQb_Z7Ed4DSpUlqQ"",""A1:I150""), 4, 0)=""LOA"", ""LOA"", IF(W72=$B$980, ""Undefined"", IF(W72&lt;$B$979, ""Inactive"", IF(W72&lt;$B$978, ""Semi-Active"", IF(W72&lt;$B$977, ""Active"", IF(W72&gt;$B$976, ""No-Lif"&amp;"er""))))))"),"Inactive")</f>
        <v>Inactive</v>
      </c>
      <c r="X64" s="3"/>
    </row>
    <row r="65" spans="1:24" ht="15.75" customHeight="1">
      <c r="A65" s="15" t="s">
        <v>49</v>
      </c>
      <c r="B65" s="2"/>
      <c r="C65" s="44">
        <v>0</v>
      </c>
      <c r="D65" s="3"/>
      <c r="E65" s="15" t="s">
        <v>49</v>
      </c>
      <c r="F65" s="2"/>
      <c r="G65" s="44"/>
      <c r="H65" s="3"/>
      <c r="I65" s="15" t="s">
        <v>49</v>
      </c>
      <c r="J65" s="2"/>
      <c r="K65" s="44">
        <v>0</v>
      </c>
      <c r="L65" s="3"/>
      <c r="M65" s="15" t="s">
        <v>49</v>
      </c>
      <c r="N65" s="2"/>
      <c r="O65" s="44">
        <v>0</v>
      </c>
      <c r="P65" s="3"/>
      <c r="Q65" s="15" t="s">
        <v>49</v>
      </c>
      <c r="R65" s="2"/>
      <c r="S65" s="44">
        <v>0</v>
      </c>
      <c r="T65" s="1"/>
      <c r="U65" s="38" t="s">
        <v>49</v>
      </c>
      <c r="V65" s="2"/>
      <c r="W65" s="44">
        <v>0</v>
      </c>
      <c r="X65" s="3"/>
    </row>
    <row r="66" spans="1:24" ht="15.75" customHeight="1">
      <c r="A66" s="15" t="s">
        <v>50</v>
      </c>
      <c r="B66" s="2"/>
      <c r="C66" s="44">
        <v>0</v>
      </c>
      <c r="D66" s="3"/>
      <c r="E66" s="15" t="s">
        <v>50</v>
      </c>
      <c r="F66" s="2"/>
      <c r="G66" s="44"/>
      <c r="H66" s="3"/>
      <c r="I66" s="15" t="s">
        <v>50</v>
      </c>
      <c r="J66" s="2"/>
      <c r="K66" s="44">
        <v>0</v>
      </c>
      <c r="L66" s="3"/>
      <c r="M66" s="15" t="s">
        <v>50</v>
      </c>
      <c r="N66" s="2"/>
      <c r="O66" s="44">
        <v>0</v>
      </c>
      <c r="P66" s="3"/>
      <c r="Q66" s="15" t="s">
        <v>50</v>
      </c>
      <c r="R66" s="2"/>
      <c r="S66" s="44">
        <v>0</v>
      </c>
      <c r="T66" s="1"/>
      <c r="U66" s="38" t="s">
        <v>50</v>
      </c>
      <c r="V66" s="2"/>
      <c r="W66" s="44">
        <v>0</v>
      </c>
      <c r="X66" s="3"/>
    </row>
    <row r="67" spans="1:24" ht="15.75" customHeight="1">
      <c r="A67" s="20" t="s">
        <v>51</v>
      </c>
      <c r="B67" s="2"/>
      <c r="C67" s="44">
        <v>0</v>
      </c>
      <c r="D67" s="3"/>
      <c r="E67" s="20" t="s">
        <v>51</v>
      </c>
      <c r="F67" s="2"/>
      <c r="G67" s="44"/>
      <c r="H67" s="3"/>
      <c r="I67" s="20" t="s">
        <v>51</v>
      </c>
      <c r="J67" s="2"/>
      <c r="K67" s="44">
        <v>0</v>
      </c>
      <c r="L67" s="3"/>
      <c r="M67" s="20" t="s">
        <v>51</v>
      </c>
      <c r="N67" s="2"/>
      <c r="O67" s="44">
        <v>0</v>
      </c>
      <c r="P67" s="3"/>
      <c r="Q67" s="20" t="s">
        <v>51</v>
      </c>
      <c r="R67" s="2"/>
      <c r="S67" s="44">
        <v>1</v>
      </c>
      <c r="T67" s="1"/>
      <c r="U67" s="45" t="s">
        <v>51</v>
      </c>
      <c r="V67" s="2"/>
      <c r="W67" s="44">
        <v>0</v>
      </c>
      <c r="X67" s="3"/>
    </row>
    <row r="68" spans="1:24" ht="15.75" customHeight="1">
      <c r="A68" s="20" t="s">
        <v>52</v>
      </c>
      <c r="B68" s="2"/>
      <c r="C68" s="44">
        <v>11</v>
      </c>
      <c r="D68" s="3"/>
      <c r="E68" s="20" t="s">
        <v>52</v>
      </c>
      <c r="F68" s="2"/>
      <c r="G68" s="44"/>
      <c r="H68" s="3"/>
      <c r="I68" s="20" t="s">
        <v>52</v>
      </c>
      <c r="J68" s="2"/>
      <c r="K68" s="44">
        <v>0</v>
      </c>
      <c r="L68" s="3"/>
      <c r="M68" s="20" t="s">
        <v>52</v>
      </c>
      <c r="N68" s="2"/>
      <c r="O68" s="44">
        <v>0</v>
      </c>
      <c r="P68" s="3"/>
      <c r="Q68" s="20" t="s">
        <v>52</v>
      </c>
      <c r="R68" s="2"/>
      <c r="S68" s="44">
        <v>0</v>
      </c>
      <c r="T68" s="1"/>
      <c r="U68" s="45" t="s">
        <v>52</v>
      </c>
      <c r="V68" s="2"/>
      <c r="W68" s="44">
        <v>0</v>
      </c>
      <c r="X68" s="3"/>
    </row>
    <row r="69" spans="1:24" ht="15.75" customHeight="1">
      <c r="A69" s="20" t="s">
        <v>53</v>
      </c>
      <c r="B69" s="2"/>
      <c r="C69" s="44">
        <v>1</v>
      </c>
      <c r="D69" s="3"/>
      <c r="E69" s="20" t="s">
        <v>53</v>
      </c>
      <c r="F69" s="2"/>
      <c r="G69" s="44"/>
      <c r="H69" s="3"/>
      <c r="I69" s="20" t="s">
        <v>53</v>
      </c>
      <c r="J69" s="2"/>
      <c r="K69" s="44">
        <v>1</v>
      </c>
      <c r="L69" s="3"/>
      <c r="M69" s="20" t="s">
        <v>53</v>
      </c>
      <c r="N69" s="2"/>
      <c r="O69" s="44">
        <v>0</v>
      </c>
      <c r="P69" s="3"/>
      <c r="Q69" s="20" t="s">
        <v>53</v>
      </c>
      <c r="R69" s="2"/>
      <c r="S69" s="44">
        <v>10</v>
      </c>
      <c r="T69" s="1"/>
      <c r="U69" s="45" t="s">
        <v>53</v>
      </c>
      <c r="V69" s="2"/>
      <c r="W69" s="44">
        <v>1</v>
      </c>
      <c r="X69" s="3"/>
    </row>
    <row r="70" spans="1:24" ht="15.75" customHeight="1">
      <c r="A70" s="24" t="s">
        <v>54</v>
      </c>
      <c r="B70" s="2"/>
      <c r="C70" s="44">
        <v>1</v>
      </c>
      <c r="D70" s="3"/>
      <c r="E70" s="24" t="s">
        <v>54</v>
      </c>
      <c r="F70" s="2"/>
      <c r="G70" s="44"/>
      <c r="H70" s="3"/>
      <c r="I70" s="24" t="s">
        <v>54</v>
      </c>
      <c r="J70" s="2"/>
      <c r="K70" s="44">
        <v>0</v>
      </c>
      <c r="L70" s="3"/>
      <c r="M70" s="24" t="s">
        <v>54</v>
      </c>
      <c r="N70" s="2"/>
      <c r="O70" s="44">
        <v>0</v>
      </c>
      <c r="P70" s="3"/>
      <c r="Q70" s="24" t="s">
        <v>54</v>
      </c>
      <c r="R70" s="2"/>
      <c r="S70" s="44">
        <v>1</v>
      </c>
      <c r="T70" s="1"/>
      <c r="U70" s="46" t="s">
        <v>54</v>
      </c>
      <c r="V70" s="2"/>
      <c r="W70" s="44">
        <v>0</v>
      </c>
      <c r="X70" s="3"/>
    </row>
    <row r="71" spans="1:24" ht="15.75" customHeight="1">
      <c r="A71" s="20" t="s">
        <v>55</v>
      </c>
      <c r="B71" s="2"/>
      <c r="C71" s="44">
        <v>3</v>
      </c>
      <c r="D71" s="3"/>
      <c r="E71" s="20" t="s">
        <v>55</v>
      </c>
      <c r="F71" s="2"/>
      <c r="G71" s="16"/>
      <c r="H71" s="3"/>
      <c r="I71" s="20" t="s">
        <v>55</v>
      </c>
      <c r="J71" s="2"/>
      <c r="K71" s="44">
        <v>0</v>
      </c>
      <c r="L71" s="3"/>
      <c r="M71" s="20" t="s">
        <v>55</v>
      </c>
      <c r="N71" s="2"/>
      <c r="O71" s="44">
        <v>0</v>
      </c>
      <c r="P71" s="3"/>
      <c r="Q71" s="20" t="s">
        <v>55</v>
      </c>
      <c r="R71" s="2"/>
      <c r="S71" s="44">
        <v>5</v>
      </c>
      <c r="T71" s="1"/>
      <c r="U71" s="45" t="s">
        <v>55</v>
      </c>
      <c r="V71" s="2"/>
      <c r="W71" s="44">
        <v>0</v>
      </c>
      <c r="X71" s="3"/>
    </row>
    <row r="72" spans="1:24">
      <c r="A72" s="24" t="s">
        <v>56</v>
      </c>
      <c r="B72" s="2"/>
      <c r="C72" s="29">
        <f>(C65*B983)+(C66*B984)+(C67*B985)+(C68*B986)+(C69*B987)+(C70*B988)+(C71*B989)</f>
        <v>27.5</v>
      </c>
      <c r="D72" s="3"/>
      <c r="E72" s="24" t="s">
        <v>56</v>
      </c>
      <c r="F72" s="2"/>
      <c r="G72" s="29">
        <f>(G65*B983)+(G66*B984)+(G67*B985)+(G68*B986)+(G69*B987)+(G70*B988)+(G71*B989)</f>
        <v>0</v>
      </c>
      <c r="H72" s="3"/>
      <c r="I72" s="24" t="s">
        <v>56</v>
      </c>
      <c r="J72" s="2"/>
      <c r="K72" s="48">
        <f>(K65*B983)+(K66*B984)+(K67*B985)+(K68*B986)+(K69*B987)+(K70*B988)+(K71*B989)</f>
        <v>1</v>
      </c>
      <c r="L72" s="3"/>
      <c r="M72" s="24" t="s">
        <v>56</v>
      </c>
      <c r="N72" s="2"/>
      <c r="O72" s="48">
        <f>(O65*B983)+(O66*B984)+(O67*B985)+(O68*B986)+(O69*B987)+(O70*B988)+(O71*B989)</f>
        <v>0</v>
      </c>
      <c r="P72" s="3"/>
      <c r="Q72" s="24" t="s">
        <v>56</v>
      </c>
      <c r="R72" s="2"/>
      <c r="S72" s="48">
        <f>(S65*B983)+(S66*B984)+(S67*B985)+(S68*B986)+(S69*B987)+(S70*B988)+(S71*B989)</f>
        <v>25.5</v>
      </c>
      <c r="T72" s="1"/>
      <c r="U72" s="46" t="s">
        <v>56</v>
      </c>
      <c r="V72" s="2"/>
      <c r="W72" s="62">
        <f>(W65*$B$983)+(W66*$B$984)+(W67*$B$985)+(W68*$B$986)+(W69*$B$987)+(W70*$B$988)+(W71*$B$989)</f>
        <v>1</v>
      </c>
      <c r="X72" s="3"/>
    </row>
    <row r="73" spans="1:24" ht="15.75" customHeight="1">
      <c r="A73" s="20" t="s">
        <v>57</v>
      </c>
      <c r="B73" s="2"/>
      <c r="C73" s="51" t="s">
        <v>58</v>
      </c>
      <c r="D73" s="3"/>
      <c r="E73" s="20" t="s">
        <v>57</v>
      </c>
      <c r="F73" s="2"/>
      <c r="G73" s="15"/>
      <c r="H73" s="3"/>
      <c r="I73" s="20" t="s">
        <v>57</v>
      </c>
      <c r="J73" s="2"/>
      <c r="K73" s="51" t="s">
        <v>59</v>
      </c>
      <c r="L73" s="3"/>
      <c r="M73" s="20" t="s">
        <v>57</v>
      </c>
      <c r="N73" s="2"/>
      <c r="O73" s="51" t="s">
        <v>59</v>
      </c>
      <c r="P73" s="3"/>
      <c r="Q73" s="20" t="s">
        <v>57</v>
      </c>
      <c r="R73" s="2"/>
      <c r="S73" s="51" t="s">
        <v>59</v>
      </c>
      <c r="T73" s="1"/>
      <c r="U73" s="45" t="s">
        <v>57</v>
      </c>
      <c r="V73" s="2"/>
      <c r="W73" s="17" t="s">
        <v>59</v>
      </c>
      <c r="X73" s="3"/>
    </row>
    <row r="74" spans="1:24" ht="15.75" customHeight="1">
      <c r="A74" s="20" t="s">
        <v>60</v>
      </c>
      <c r="B74" s="2"/>
      <c r="C74" s="51" t="s">
        <v>58</v>
      </c>
      <c r="D74" s="3"/>
      <c r="E74" s="20" t="s">
        <v>60</v>
      </c>
      <c r="F74" s="2"/>
      <c r="G74" s="15"/>
      <c r="H74" s="3"/>
      <c r="I74" s="20" t="s">
        <v>60</v>
      </c>
      <c r="J74" s="2"/>
      <c r="K74" s="51" t="s">
        <v>59</v>
      </c>
      <c r="L74" s="3"/>
      <c r="M74" s="20" t="s">
        <v>60</v>
      </c>
      <c r="N74" s="2"/>
      <c r="O74" s="51" t="s">
        <v>59</v>
      </c>
      <c r="P74" s="3"/>
      <c r="Q74" s="20" t="s">
        <v>60</v>
      </c>
      <c r="R74" s="2"/>
      <c r="S74" s="51" t="s">
        <v>59</v>
      </c>
      <c r="T74" s="1"/>
      <c r="U74" s="45" t="s">
        <v>60</v>
      </c>
      <c r="V74" s="2"/>
      <c r="W74" s="17" t="s">
        <v>59</v>
      </c>
      <c r="X74" s="3"/>
    </row>
    <row r="75" spans="1:24" ht="15.75" customHeight="1">
      <c r="A75" s="20" t="s">
        <v>61</v>
      </c>
      <c r="B75" s="2"/>
      <c r="C75" s="17" t="s">
        <v>58</v>
      </c>
      <c r="D75" s="3"/>
      <c r="E75" s="20" t="s">
        <v>61</v>
      </c>
      <c r="F75" s="2"/>
      <c r="G75" s="5"/>
      <c r="H75" s="3"/>
      <c r="I75" s="20" t="s">
        <v>61</v>
      </c>
      <c r="J75" s="2"/>
      <c r="K75" s="17" t="s">
        <v>59</v>
      </c>
      <c r="L75" s="3"/>
      <c r="M75" s="20" t="s">
        <v>61</v>
      </c>
      <c r="N75" s="2"/>
      <c r="O75" s="17" t="s">
        <v>59</v>
      </c>
      <c r="P75" s="3"/>
      <c r="Q75" s="20" t="s">
        <v>61</v>
      </c>
      <c r="R75" s="2"/>
      <c r="S75" s="17" t="s">
        <v>59</v>
      </c>
      <c r="T75" s="1"/>
      <c r="U75" s="45" t="s">
        <v>61</v>
      </c>
      <c r="V75" s="2"/>
      <c r="W75" s="17" t="s">
        <v>59</v>
      </c>
      <c r="X75" s="3"/>
    </row>
    <row r="76" spans="1:24" ht="15.75" customHeight="1">
      <c r="A76" s="20" t="s">
        <v>62</v>
      </c>
      <c r="B76" s="2"/>
      <c r="C76" s="17" t="s">
        <v>58</v>
      </c>
      <c r="D76" s="3"/>
      <c r="E76" s="20" t="s">
        <v>62</v>
      </c>
      <c r="F76" s="2"/>
      <c r="G76" s="5"/>
      <c r="H76" s="3"/>
      <c r="I76" s="20" t="s">
        <v>62</v>
      </c>
      <c r="J76" s="2"/>
      <c r="K76" s="17" t="s">
        <v>59</v>
      </c>
      <c r="L76" s="3"/>
      <c r="M76" s="20" t="s">
        <v>62</v>
      </c>
      <c r="N76" s="2"/>
      <c r="O76" s="17" t="s">
        <v>59</v>
      </c>
      <c r="P76" s="3"/>
      <c r="Q76" s="20" t="s">
        <v>62</v>
      </c>
      <c r="R76" s="2"/>
      <c r="S76" s="17" t="s">
        <v>59</v>
      </c>
      <c r="T76" s="1"/>
      <c r="U76" s="45" t="s">
        <v>62</v>
      </c>
      <c r="V76" s="2"/>
      <c r="W76" s="17" t="s">
        <v>59</v>
      </c>
      <c r="X76" s="3"/>
    </row>
    <row r="77" spans="1:24" ht="15.75" customHeight="1">
      <c r="A77" s="20" t="s">
        <v>63</v>
      </c>
      <c r="B77" s="2"/>
      <c r="C77" s="17" t="s">
        <v>64</v>
      </c>
      <c r="D77" s="3"/>
      <c r="E77" s="20" t="s">
        <v>63</v>
      </c>
      <c r="F77" s="2"/>
      <c r="G77" s="5"/>
      <c r="H77" s="3"/>
      <c r="I77" s="20" t="s">
        <v>63</v>
      </c>
      <c r="J77" s="2"/>
      <c r="K77" s="17" t="s">
        <v>64</v>
      </c>
      <c r="L77" s="3"/>
      <c r="M77" s="20" t="s">
        <v>63</v>
      </c>
      <c r="N77" s="2"/>
      <c r="O77" s="17" t="s">
        <v>64</v>
      </c>
      <c r="P77" s="3"/>
      <c r="Q77" s="20" t="s">
        <v>63</v>
      </c>
      <c r="R77" s="2"/>
      <c r="S77" s="17" t="s">
        <v>65</v>
      </c>
      <c r="T77" s="1"/>
      <c r="U77" s="45" t="s">
        <v>63</v>
      </c>
      <c r="V77" s="2"/>
      <c r="W77" s="17" t="s">
        <v>64</v>
      </c>
      <c r="X77" s="3"/>
    </row>
    <row r="78" spans="1:24" ht="15.75" customHeight="1">
      <c r="A78" s="20" t="s">
        <v>66</v>
      </c>
      <c r="B78" s="2"/>
      <c r="C78" s="5" t="str">
        <f>IF(C72&gt;B981, "Positive", "Negative")</f>
        <v>Positive</v>
      </c>
      <c r="D78" s="3"/>
      <c r="E78" s="20" t="s">
        <v>66</v>
      </c>
      <c r="F78" s="2"/>
      <c r="G78" s="5" t="str">
        <f>IF(G72&gt;B981, "Positive", "Negative")</f>
        <v>Negative</v>
      </c>
      <c r="H78" s="3"/>
      <c r="I78" s="20" t="s">
        <v>66</v>
      </c>
      <c r="J78" s="2"/>
      <c r="K78" s="5" t="str">
        <f>IF(K72&gt;B981, "Positive", "Negative")</f>
        <v>Negative</v>
      </c>
      <c r="L78" s="3"/>
      <c r="M78" s="20" t="s">
        <v>66</v>
      </c>
      <c r="N78" s="2"/>
      <c r="O78" s="5" t="str">
        <f>IF(O72&gt;B981, "Positive", "Negative")</f>
        <v>Negative</v>
      </c>
      <c r="P78" s="3"/>
      <c r="Q78" s="20" t="s">
        <v>66</v>
      </c>
      <c r="R78" s="2"/>
      <c r="S78" s="5" t="str">
        <f>IF(S72&gt;B981, "Positive", "Negative")</f>
        <v>Positive</v>
      </c>
      <c r="T78" s="1"/>
      <c r="U78" s="45" t="s">
        <v>66</v>
      </c>
      <c r="V78" s="2"/>
      <c r="W78" s="5" t="str">
        <f>IF(W72&gt;$B$981, "Positive", "Negative")</f>
        <v>Negative</v>
      </c>
      <c r="X78" s="3"/>
    </row>
    <row r="79" spans="1:24" ht="15.75" customHeight="1">
      <c r="A79" s="20" t="s">
        <v>67</v>
      </c>
      <c r="B79" s="2"/>
      <c r="C79" s="17" t="s">
        <v>82</v>
      </c>
      <c r="D79" s="3"/>
      <c r="E79" s="20" t="s">
        <v>67</v>
      </c>
      <c r="F79" s="2"/>
      <c r="G79" s="5"/>
      <c r="H79" s="3"/>
      <c r="I79" s="20" t="s">
        <v>67</v>
      </c>
      <c r="J79" s="2"/>
      <c r="K79" s="5"/>
      <c r="L79" s="3"/>
      <c r="M79" s="20" t="s">
        <v>67</v>
      </c>
      <c r="N79" s="2"/>
      <c r="O79" s="5"/>
      <c r="P79" s="3"/>
      <c r="Q79" s="20" t="s">
        <v>67</v>
      </c>
      <c r="R79" s="2"/>
      <c r="S79" s="5"/>
      <c r="T79" s="1"/>
      <c r="U79" s="45" t="s">
        <v>67</v>
      </c>
      <c r="V79" s="2"/>
      <c r="W79" s="5"/>
      <c r="X79" s="3"/>
    </row>
    <row r="80" spans="1:24" ht="15.75" customHeight="1">
      <c r="A80" s="20"/>
      <c r="B80" s="2"/>
      <c r="C80" s="2"/>
      <c r="D80" s="3"/>
      <c r="E80" s="20"/>
      <c r="F80" s="2"/>
      <c r="G80" s="2"/>
      <c r="H80" s="3"/>
      <c r="I80" s="20"/>
      <c r="J80" s="2"/>
      <c r="K80" s="2"/>
      <c r="L80" s="3"/>
      <c r="M80" s="20"/>
      <c r="N80" s="2"/>
      <c r="O80" s="2"/>
      <c r="P80" s="3"/>
      <c r="Q80" s="20"/>
      <c r="R80" s="2"/>
      <c r="S80" s="2"/>
      <c r="T80" s="1"/>
      <c r="U80" s="46"/>
      <c r="V80" s="2"/>
      <c r="W80" s="2"/>
      <c r="X80" s="3"/>
    </row>
    <row r="81" spans="1:24" ht="15.75" customHeight="1">
      <c r="D81" s="1"/>
      <c r="G81" s="27"/>
      <c r="H81" s="1"/>
      <c r="L81" s="1"/>
      <c r="P81" s="1"/>
      <c r="T81" s="3"/>
      <c r="U81" s="4"/>
      <c r="V81" s="2"/>
      <c r="W81" s="2"/>
      <c r="X81" s="3"/>
    </row>
    <row r="82" spans="1:24" ht="15.75" customHeight="1">
      <c r="A82" s="5" t="s">
        <v>33</v>
      </c>
      <c r="B82" s="2"/>
      <c r="C82" s="27" t="s">
        <v>83</v>
      </c>
      <c r="D82" s="3"/>
      <c r="E82" s="5" t="s">
        <v>33</v>
      </c>
      <c r="F82" s="2"/>
      <c r="G82" s="27" t="s">
        <v>77</v>
      </c>
      <c r="H82" s="3"/>
      <c r="I82" s="5" t="s">
        <v>33</v>
      </c>
      <c r="J82" s="2"/>
      <c r="K82" s="27" t="s">
        <v>77</v>
      </c>
      <c r="L82" s="3"/>
      <c r="M82" s="5" t="s">
        <v>33</v>
      </c>
      <c r="N82" s="2"/>
      <c r="O82" s="27" t="s">
        <v>84</v>
      </c>
      <c r="P82" s="3"/>
      <c r="Q82" s="5" t="s">
        <v>33</v>
      </c>
      <c r="R82" s="2"/>
      <c r="S82" s="17" t="s">
        <v>85</v>
      </c>
      <c r="T82" s="3"/>
      <c r="U82" s="26" t="s">
        <v>33</v>
      </c>
      <c r="V82" s="2"/>
      <c r="W82" s="17" t="s">
        <v>77</v>
      </c>
      <c r="X82" s="3"/>
    </row>
    <row r="83" spans="1:24" ht="15.75" customHeight="1">
      <c r="A83" s="5" t="s">
        <v>40</v>
      </c>
      <c r="B83" s="2"/>
      <c r="C83" s="27" t="s">
        <v>41</v>
      </c>
      <c r="D83" s="3"/>
      <c r="E83" s="5" t="s">
        <v>40</v>
      </c>
      <c r="F83" s="2"/>
      <c r="G83" s="27" t="s">
        <v>77</v>
      </c>
      <c r="H83" s="3"/>
      <c r="I83" s="5" t="s">
        <v>40</v>
      </c>
      <c r="J83" s="2"/>
      <c r="K83" s="27" t="s">
        <v>77</v>
      </c>
      <c r="L83" s="3"/>
      <c r="M83" s="5" t="s">
        <v>40</v>
      </c>
      <c r="N83" s="2"/>
      <c r="O83" s="27" t="s">
        <v>44</v>
      </c>
      <c r="P83" s="3"/>
      <c r="Q83" s="5" t="s">
        <v>40</v>
      </c>
      <c r="R83" s="2"/>
      <c r="S83" s="17" t="s">
        <v>44</v>
      </c>
      <c r="T83" s="1"/>
      <c r="U83" s="26" t="s">
        <v>40</v>
      </c>
      <c r="V83" s="2"/>
      <c r="W83" s="64" t="s">
        <v>77</v>
      </c>
      <c r="X83" s="3"/>
    </row>
    <row r="84" spans="1:24" ht="15.75" customHeight="1">
      <c r="A84" s="30" t="s">
        <v>45</v>
      </c>
      <c r="B84" s="22"/>
      <c r="C84" s="60">
        <f ca="1">IFERROR(__xludf.DUMMYFUNCTION("VLOOKUP(C82,IMPORTRANGE(""12tmwbDwibV62zKOh4wo_LVGcWqZMQb_Z7Ed4DSpUlqQ"",""A1:I150""), 2, 0)"),43413)</f>
        <v>43413</v>
      </c>
      <c r="D84" s="32"/>
      <c r="E84" s="30" t="s">
        <v>45</v>
      </c>
      <c r="F84" s="22"/>
      <c r="G84" s="60" t="str">
        <f ca="1">IFERROR(__xludf.DUMMYFUNCTION("VLOOKUP(G82,IMPORTRANGE(""12tmwbDwibV62zKOh4wo_LVGcWqZMQb_Z7Ed4DSpUlqQ"",""A1:I150""), 2, 0)"),"N/A")</f>
        <v>N/A</v>
      </c>
      <c r="H84" s="32"/>
      <c r="I84" s="30" t="s">
        <v>45</v>
      </c>
      <c r="J84" s="22"/>
      <c r="K84" s="60" t="str">
        <f ca="1">IFERROR(__xludf.DUMMYFUNCTION("VLOOKUP(K82,IMPORTRANGE(""12tmwbDwibV62zKOh4wo_LVGcWqZMQb_Z7Ed4DSpUlqQ"",""A1:I150""), 2, 0)"),"N/A")</f>
        <v>N/A</v>
      </c>
      <c r="L84" s="3"/>
      <c r="M84" s="30" t="s">
        <v>45</v>
      </c>
      <c r="N84" s="22"/>
      <c r="O84" s="60">
        <f ca="1">IFERROR(__xludf.DUMMYFUNCTION("VLOOKUP(O82,IMPORTRANGE(""12tmwbDwibV62zKOh4wo_LVGcWqZMQb_Z7Ed4DSpUlqQ"",""A1:I150""), 2, 0)"),43367)</f>
        <v>43367</v>
      </c>
      <c r="P84" s="3"/>
      <c r="Q84" s="30" t="s">
        <v>45</v>
      </c>
      <c r="R84" s="22"/>
      <c r="S84" s="60">
        <f ca="1">IFERROR(__xludf.DUMMYFUNCTION("VLOOKUP(S82,IMPORTRANGE(""12tmwbDwibV62zKOh4wo_LVGcWqZMQb_Z7Ed4DSpUlqQ"",""A1:I150""), 2, 0)"),43409)</f>
        <v>43409</v>
      </c>
      <c r="T84" s="3"/>
      <c r="U84" s="26" t="s">
        <v>45</v>
      </c>
      <c r="V84" s="2"/>
      <c r="W84" s="57" t="str">
        <f ca="1">IFERROR(__xludf.DUMMYFUNCTION("VLOOKUP(W82,IMPORTRANGE(""12tmwbDwibV62zKOh4wo_LVGcWqZMQb_Z7Ed4DSpUlqQ"",""A1:I150""), 2, 0)"),"N/A")</f>
        <v>N/A</v>
      </c>
      <c r="X84" s="3"/>
    </row>
    <row r="85" spans="1:24" ht="15.75" customHeight="1">
      <c r="A85" s="65" t="s">
        <v>46</v>
      </c>
      <c r="B85" s="22"/>
      <c r="C85" s="16">
        <f ca="1">INT((A992-C84)/7)</f>
        <v>1</v>
      </c>
      <c r="D85" s="66"/>
      <c r="E85" s="65" t="s">
        <v>46</v>
      </c>
      <c r="F85" s="22"/>
      <c r="G85" s="16" t="e">
        <f ca="1">INT((A992-G84)/7)</f>
        <v>#VALUE!</v>
      </c>
      <c r="H85" s="66"/>
      <c r="I85" s="65" t="s">
        <v>46</v>
      </c>
      <c r="J85" s="22"/>
      <c r="K85" s="16" t="e">
        <f ca="1">INT((A992-K84)/7)</f>
        <v>#VALUE!</v>
      </c>
      <c r="L85" s="66"/>
      <c r="M85" s="65" t="s">
        <v>46</v>
      </c>
      <c r="N85" s="22"/>
      <c r="O85" s="16">
        <f ca="1">INT((A992-O84)/7)</f>
        <v>7</v>
      </c>
      <c r="P85" s="66"/>
      <c r="Q85" s="65" t="s">
        <v>46</v>
      </c>
      <c r="R85" s="22"/>
      <c r="S85" s="16">
        <f ca="1">INT((A992-S84)/7)</f>
        <v>1</v>
      </c>
      <c r="T85" s="3"/>
      <c r="U85" s="38" t="s">
        <v>46</v>
      </c>
      <c r="V85" s="2"/>
      <c r="W85" s="16" t="e">
        <f ca="1">INT(($A$992-W84)/7)</f>
        <v>#VALUE!</v>
      </c>
      <c r="X85" s="3"/>
    </row>
    <row r="86" spans="1:24" ht="15.75" customHeight="1">
      <c r="A86" s="37" t="s">
        <v>47</v>
      </c>
      <c r="B86" s="2"/>
      <c r="C86" s="67">
        <f ca="1">IFERROR(__xludf.DUMMYFUNCTION("VLOOKUP(C82,IMPORTRANGE(""12tmwbDwibV62zKOh4wo_LVGcWqZMQb_Z7Ed4DSpUlqQ"",""A1:I150""), 9, 0)"),13)</f>
        <v>13</v>
      </c>
      <c r="D86" s="1"/>
      <c r="E86" s="37" t="s">
        <v>47</v>
      </c>
      <c r="F86" s="2"/>
      <c r="G86" s="67" t="str">
        <f ca="1">IFERROR(__xludf.DUMMYFUNCTION("VLOOKUP(G82,IMPORTRANGE(""12tmwbDwibV62zKOh4wo_LVGcWqZMQb_Z7Ed4DSpUlqQ"",""A1:I150""), 9, 0)"),"N/A")</f>
        <v>N/A</v>
      </c>
      <c r="H86" s="1"/>
      <c r="I86" s="37" t="s">
        <v>47</v>
      </c>
      <c r="J86" s="2"/>
      <c r="K86" s="67" t="str">
        <f ca="1">IFERROR(__xludf.DUMMYFUNCTION("VLOOKUP(K82,IMPORTRANGE(""12tmwbDwibV62zKOh4wo_LVGcWqZMQb_Z7Ed4DSpUlqQ"",""A1:I150""), 9, 0)"),"N/A")</f>
        <v>N/A</v>
      </c>
      <c r="L86" s="1"/>
      <c r="M86" s="37" t="s">
        <v>47</v>
      </c>
      <c r="N86" s="2"/>
      <c r="O86" s="41">
        <f ca="1">IFERROR(__xludf.DUMMYFUNCTION("VLOOKUP(O82,IMPORTRANGE(""12tmwbDwibV62zKOh4wo_LVGcWqZMQb_Z7Ed4DSpUlqQ"",""A1:I150""), 9, 0)"),0)</f>
        <v>0</v>
      </c>
      <c r="P86" s="1"/>
      <c r="Q86" s="37" t="s">
        <v>47</v>
      </c>
      <c r="R86" s="2"/>
      <c r="S86" s="41">
        <f ca="1">IFERROR(__xludf.DUMMYFUNCTION("VLOOKUP(S82,IMPORTRANGE(""12tmwbDwibV62zKOh4wo_LVGcWqZMQb_Z7Ed4DSpUlqQ"",""A1:I150""), 9, 0)"),0)</f>
        <v>0</v>
      </c>
      <c r="T86" s="3"/>
      <c r="U86" s="38" t="s">
        <v>47</v>
      </c>
      <c r="V86" s="2"/>
      <c r="W86" s="41" t="str">
        <f ca="1">IFERROR(__xludf.DUMMYFUNCTION("VLOOKUP(W82,IMPORTRANGE(""12tmwbDwibV62zKOh4wo_LVGcWqZMQb_Z7Ed4DSpUlqQ"",""A1:I150""), 9, 0)"),"N/A")</f>
        <v>N/A</v>
      </c>
      <c r="X86" s="3"/>
    </row>
    <row r="87" spans="1:24" ht="15.75" customHeight="1">
      <c r="A87" s="5" t="s">
        <v>48</v>
      </c>
      <c r="B87" s="2"/>
      <c r="C87" s="5" t="str">
        <f ca="1">IFERROR(__xludf.DUMMYFUNCTION("IF(VLOOKUP(C82,IMPORTRANGE(""12tmwbDwibV62zKOh4wo_LVGcWqZMQb_Z7Ed4DSpUlqQ"",""A1:I150""), 4, 0)=""LOA"", ""LOA"", IF(S95=B980, ""Undefined"", IF(S95&lt;B979, ""Inactive"", IF(S95&lt;B978, ""Semi-Active"", IF(S95&lt;B977, ""Active"", IF(S95&gt;B976, ""No-Lifer""))))))"),"Active")</f>
        <v>Active</v>
      </c>
      <c r="D87" s="3"/>
      <c r="E87" s="5" t="s">
        <v>48</v>
      </c>
      <c r="F87" s="2"/>
      <c r="G87" s="5" t="str">
        <f ca="1">IFERROR(__xludf.DUMMYFUNCTION("IF(VLOOKUP(G82,IMPORTRANGE(""12tmwbDwibV62zKOh4wo_LVGcWqZMQb_Z7Ed4DSpUlqQ"",""A1:I150""), 4, 0)=""LOA"", ""LOA"", IF(G95=B980, ""Undefined"", IF(G95&lt;B979, ""Inactive"", IF(G95&lt;B978, ""Semi-Active"", IF(G95&lt;B977, ""Active"", IF(G95&gt;B976, ""No-Lifer""))))))"),"Undefined")</f>
        <v>Undefined</v>
      </c>
      <c r="H87" s="3"/>
      <c r="I87" s="5" t="s">
        <v>48</v>
      </c>
      <c r="J87" s="2"/>
      <c r="K87" s="5" t="str">
        <f ca="1">IFERROR(__xludf.DUMMYFUNCTION("IF(VLOOKUP(K82,IMPORTRANGE(""12tmwbDwibV62zKOh4wo_LVGcWqZMQb_Z7Ed4DSpUlqQ"",""A1:I150""), 4, 0)=""LOA"", ""LOA"", IF(K95=B980, ""Undefined"", IF(K95&lt;B979, ""Inactive"", IF(K95&lt;B978, ""Semi-Active"", IF(K95&lt;B977, ""Active"", IF(K95&gt;B976, ""No-Lifer""))))))"),"Undefined")</f>
        <v>Undefined</v>
      </c>
      <c r="L87" s="3"/>
      <c r="M87" s="5" t="s">
        <v>48</v>
      </c>
      <c r="N87" s="2"/>
      <c r="O87" s="5" t="str">
        <f ca="1">IFERROR(__xludf.DUMMYFUNCTION("IF(VLOOKUP(O82,IMPORTRANGE(""12tmwbDwibV62zKOh4wo_LVGcWqZMQb_Z7Ed4DSpUlqQ"",""A1:I150""), 4, 0)=""LOA"", ""LOA"", IF(O95=B980, ""Undefined"", IF(O95&lt;B979, ""Inactive"", IF(O95&lt;B978, ""Semi-Active"", IF(O95&lt;B977, ""Active"", IF(O95&gt;B976, ""No-Lifer""))))))"),"Inactive")</f>
        <v>Inactive</v>
      </c>
      <c r="P87" s="3"/>
      <c r="Q87" s="5" t="s">
        <v>48</v>
      </c>
      <c r="R87" s="2"/>
      <c r="S87" s="5" t="str">
        <f ca="1">IFERROR(__xludf.DUMMYFUNCTION("IF(VLOOKUP(S82,IMPORTRANGE(""12tmwbDwibV62zKOh4wo_LVGcWqZMQb_Z7Ed4DSpUlqQ"",""A1:I150""), 4, 0)=""LOA"", ""LOA"", IF(S95=B980, ""Undefined"", IF(S95&lt;B979, ""Inactive"", IF(S95&lt;B978, ""Semi-Active"", IF(S95&lt;B977, ""Active"", IF(S95&gt;B976, ""No-Lifer""))))))"),"Active")</f>
        <v>Active</v>
      </c>
      <c r="T87" s="3"/>
      <c r="U87" s="26" t="s">
        <v>48</v>
      </c>
      <c r="V87" s="2"/>
      <c r="W87" s="5" t="str">
        <f ca="1">IFERROR(__xludf.DUMMYFUNCTION("IF(VLOOKUP(W82,IMPORTRANGE(""12tmwbDwibV62zKOh4wo_LVGcWqZMQb_Z7Ed4DSpUlqQ"",""A1:I150""), 4, 0)=""LOA"", ""LOA"", IF(W95=$B$980, ""Undefined"", IF(W95&lt;$B$979, ""Inactive"", IF(W95&lt;$B$978, ""Semi-Active"", IF(W95&lt;$B$977, ""Active"", IF(W95&gt;$B$976, ""No-Lif"&amp;"er""))))))"),"Undefined")</f>
        <v>Undefined</v>
      </c>
      <c r="X87" s="3"/>
    </row>
    <row r="88" spans="1:24" ht="15.75" customHeight="1">
      <c r="A88" s="15" t="s">
        <v>49</v>
      </c>
      <c r="B88" s="2"/>
      <c r="C88" s="44">
        <v>0</v>
      </c>
      <c r="D88" s="3"/>
      <c r="E88" s="15" t="s">
        <v>49</v>
      </c>
      <c r="F88" s="2"/>
      <c r="G88" s="16"/>
      <c r="H88" s="3"/>
      <c r="I88" s="15" t="s">
        <v>49</v>
      </c>
      <c r="J88" s="2"/>
      <c r="K88" s="44"/>
      <c r="L88" s="3"/>
      <c r="M88" s="15" t="s">
        <v>49</v>
      </c>
      <c r="N88" s="2"/>
      <c r="O88" s="44">
        <v>0</v>
      </c>
      <c r="P88" s="3"/>
      <c r="Q88" s="15" t="s">
        <v>49</v>
      </c>
      <c r="R88" s="2"/>
      <c r="S88" s="44">
        <v>0</v>
      </c>
      <c r="T88" s="3"/>
      <c r="U88" s="38" t="s">
        <v>49</v>
      </c>
      <c r="V88" s="2"/>
      <c r="W88" s="16"/>
      <c r="X88" s="3"/>
    </row>
    <row r="89" spans="1:24" ht="15.75" customHeight="1">
      <c r="A89" s="15" t="s">
        <v>50</v>
      </c>
      <c r="B89" s="2"/>
      <c r="C89" s="44">
        <v>0</v>
      </c>
      <c r="D89" s="3"/>
      <c r="E89" s="15" t="s">
        <v>50</v>
      </c>
      <c r="F89" s="2"/>
      <c r="G89" s="16"/>
      <c r="H89" s="3"/>
      <c r="I89" s="15" t="s">
        <v>50</v>
      </c>
      <c r="J89" s="2"/>
      <c r="K89" s="44"/>
      <c r="L89" s="3"/>
      <c r="M89" s="15" t="s">
        <v>50</v>
      </c>
      <c r="N89" s="2"/>
      <c r="O89" s="44">
        <v>0</v>
      </c>
      <c r="P89" s="3"/>
      <c r="Q89" s="15" t="s">
        <v>50</v>
      </c>
      <c r="R89" s="2"/>
      <c r="S89" s="44">
        <v>0</v>
      </c>
      <c r="T89" s="3"/>
      <c r="U89" s="38" t="s">
        <v>50</v>
      </c>
      <c r="V89" s="2"/>
      <c r="W89" s="16"/>
      <c r="X89" s="3"/>
    </row>
    <row r="90" spans="1:24" ht="15.75" customHeight="1">
      <c r="A90" s="20" t="s">
        <v>51</v>
      </c>
      <c r="B90" s="2"/>
      <c r="C90" s="44">
        <v>0</v>
      </c>
      <c r="D90" s="3"/>
      <c r="E90" s="20" t="s">
        <v>51</v>
      </c>
      <c r="F90" s="2"/>
      <c r="G90" s="44"/>
      <c r="H90" s="3"/>
      <c r="I90" s="20" t="s">
        <v>51</v>
      </c>
      <c r="J90" s="2"/>
      <c r="K90" s="44"/>
      <c r="L90" s="3"/>
      <c r="M90" s="20" t="s">
        <v>51</v>
      </c>
      <c r="N90" s="2"/>
      <c r="O90" s="44">
        <v>0</v>
      </c>
      <c r="P90" s="3"/>
      <c r="Q90" s="20" t="s">
        <v>51</v>
      </c>
      <c r="R90" s="2"/>
      <c r="S90" s="44">
        <v>1</v>
      </c>
      <c r="T90" s="3"/>
      <c r="U90" s="45" t="s">
        <v>51</v>
      </c>
      <c r="V90" s="2"/>
      <c r="W90" s="16"/>
      <c r="X90" s="3"/>
    </row>
    <row r="91" spans="1:24" ht="15.75" customHeight="1">
      <c r="A91" s="20" t="s">
        <v>52</v>
      </c>
      <c r="B91" s="2"/>
      <c r="C91" s="44">
        <v>1</v>
      </c>
      <c r="D91" s="3"/>
      <c r="E91" s="20" t="s">
        <v>52</v>
      </c>
      <c r="F91" s="2"/>
      <c r="G91" s="16"/>
      <c r="H91" s="3"/>
      <c r="I91" s="20" t="s">
        <v>52</v>
      </c>
      <c r="J91" s="2"/>
      <c r="K91" s="44"/>
      <c r="L91" s="3"/>
      <c r="M91" s="20" t="s">
        <v>52</v>
      </c>
      <c r="N91" s="2"/>
      <c r="O91" s="44">
        <v>0</v>
      </c>
      <c r="P91" s="3"/>
      <c r="Q91" s="20" t="s">
        <v>52</v>
      </c>
      <c r="R91" s="2"/>
      <c r="S91" s="44">
        <v>0</v>
      </c>
      <c r="T91" s="1"/>
      <c r="U91" s="45" t="s">
        <v>52</v>
      </c>
      <c r="V91" s="2"/>
      <c r="W91" s="2"/>
      <c r="X91" s="3"/>
    </row>
    <row r="92" spans="1:24" ht="15.75" customHeight="1">
      <c r="A92" s="20" t="s">
        <v>53</v>
      </c>
      <c r="B92" s="2"/>
      <c r="C92" s="44">
        <v>2</v>
      </c>
      <c r="D92" s="3"/>
      <c r="E92" s="20" t="s">
        <v>53</v>
      </c>
      <c r="F92" s="2"/>
      <c r="G92" s="16"/>
      <c r="H92" s="3"/>
      <c r="I92" s="20" t="s">
        <v>53</v>
      </c>
      <c r="J92" s="2"/>
      <c r="K92" s="44"/>
      <c r="L92" s="3"/>
      <c r="M92" s="20" t="s">
        <v>53</v>
      </c>
      <c r="N92" s="2"/>
      <c r="O92" s="44">
        <v>0</v>
      </c>
      <c r="P92" s="3"/>
      <c r="Q92" s="20" t="s">
        <v>53</v>
      </c>
      <c r="R92" s="2"/>
      <c r="S92" s="44">
        <v>5</v>
      </c>
      <c r="T92" s="1"/>
      <c r="U92" s="45" t="s">
        <v>53</v>
      </c>
      <c r="V92" s="2"/>
      <c r="W92" s="2"/>
      <c r="X92" s="3"/>
    </row>
    <row r="93" spans="1:24" ht="15.75" customHeight="1">
      <c r="A93" s="24" t="s">
        <v>54</v>
      </c>
      <c r="B93" s="2"/>
      <c r="C93" s="44">
        <v>0</v>
      </c>
      <c r="D93" s="3"/>
      <c r="E93" s="24" t="s">
        <v>54</v>
      </c>
      <c r="F93" s="2"/>
      <c r="G93" s="16"/>
      <c r="H93" s="3"/>
      <c r="I93" s="24" t="s">
        <v>54</v>
      </c>
      <c r="J93" s="2"/>
      <c r="K93" s="44"/>
      <c r="L93" s="3"/>
      <c r="M93" s="24" t="s">
        <v>54</v>
      </c>
      <c r="N93" s="2"/>
      <c r="O93" s="44">
        <v>0</v>
      </c>
      <c r="P93" s="3"/>
      <c r="Q93" s="24" t="s">
        <v>54</v>
      </c>
      <c r="R93" s="2"/>
      <c r="S93" s="44">
        <v>0</v>
      </c>
      <c r="T93" s="1"/>
      <c r="U93" s="46" t="s">
        <v>54</v>
      </c>
      <c r="V93" s="2"/>
      <c r="W93" s="44"/>
      <c r="X93" s="3"/>
    </row>
    <row r="94" spans="1:24" ht="15.75" customHeight="1">
      <c r="A94" s="20" t="s">
        <v>55</v>
      </c>
      <c r="B94" s="2"/>
      <c r="C94" s="44">
        <v>3</v>
      </c>
      <c r="D94" s="3"/>
      <c r="E94" s="20" t="s">
        <v>55</v>
      </c>
      <c r="F94" s="2"/>
      <c r="G94" s="16"/>
      <c r="H94" s="3"/>
      <c r="I94" s="20" t="s">
        <v>55</v>
      </c>
      <c r="J94" s="2"/>
      <c r="K94" s="44"/>
      <c r="L94" s="3"/>
      <c r="M94" s="20" t="s">
        <v>55</v>
      </c>
      <c r="N94" s="2"/>
      <c r="O94" s="44">
        <v>1</v>
      </c>
      <c r="P94" s="3"/>
      <c r="Q94" s="20" t="s">
        <v>55</v>
      </c>
      <c r="R94" s="2"/>
      <c r="S94" s="44">
        <v>3</v>
      </c>
      <c r="T94" s="1"/>
      <c r="U94" s="45" t="s">
        <v>55</v>
      </c>
      <c r="V94" s="2"/>
      <c r="W94" s="16"/>
      <c r="X94" s="3"/>
    </row>
    <row r="95" spans="1:24">
      <c r="A95" s="24" t="s">
        <v>56</v>
      </c>
      <c r="B95" s="2"/>
      <c r="C95" s="29">
        <f>(C88*B983)+(C89*B984)+(C90*B985)+(C91*B986)+(C92*B987)+(C93*B988)+(C94*B989)</f>
        <v>9.5</v>
      </c>
      <c r="D95" s="1"/>
      <c r="E95" s="24" t="s">
        <v>56</v>
      </c>
      <c r="F95" s="2"/>
      <c r="G95" s="29">
        <f>(G88*B983)+(G89*B984)+(G90*B985)+(G91*B986)+(G92*B987)+(G93*B988)+(G94*B989)</f>
        <v>0</v>
      </c>
      <c r="H95" s="1"/>
      <c r="I95" s="24" t="s">
        <v>56</v>
      </c>
      <c r="J95" s="2"/>
      <c r="K95" s="68">
        <f>(K88*B983)+(K89*B984)+(K90*B985)+(K91*B986)+(K92*B987)+(K93*B988)+(K94*B989)</f>
        <v>0</v>
      </c>
      <c r="L95" s="1"/>
      <c r="M95" s="24" t="s">
        <v>56</v>
      </c>
      <c r="N95" s="2"/>
      <c r="O95" s="68">
        <f>(O88*B983)+(O89*B984)+(O90*B985)+(O91*B986)+(O92*B987)+(O93*B988)+(O94*B989)</f>
        <v>2</v>
      </c>
      <c r="P95" s="3"/>
      <c r="Q95" s="24" t="s">
        <v>56</v>
      </c>
      <c r="R95" s="2"/>
      <c r="S95" s="68">
        <f>(S88*B983)+(S89*B984)+(S90*B985)+(S91*B986)+(S92*B987)+(S93*B988)+(S94*B989)</f>
        <v>12.5</v>
      </c>
      <c r="T95" s="1"/>
      <c r="U95" s="46" t="s">
        <v>56</v>
      </c>
      <c r="V95" s="2"/>
      <c r="W95" s="29">
        <f>(W88*$B$983)+(W89*$B$984)+(W90*$B$985)+(W91*$B$986)+(W92*$B$987)+(W93*$B$988)+(W94*$B$989)</f>
        <v>0</v>
      </c>
      <c r="X95" s="3"/>
    </row>
    <row r="96" spans="1:24" ht="15.75" customHeight="1">
      <c r="A96" s="20" t="s">
        <v>57</v>
      </c>
      <c r="B96" s="2"/>
      <c r="C96" s="51" t="s">
        <v>58</v>
      </c>
      <c r="D96" s="1"/>
      <c r="E96" s="20" t="s">
        <v>57</v>
      </c>
      <c r="F96" s="2"/>
      <c r="G96" s="15"/>
      <c r="H96" s="1"/>
      <c r="I96" s="20" t="s">
        <v>57</v>
      </c>
      <c r="J96" s="2"/>
      <c r="K96" s="5"/>
      <c r="L96" s="1"/>
      <c r="M96" s="20" t="s">
        <v>57</v>
      </c>
      <c r="N96" s="2"/>
      <c r="O96" s="17" t="s">
        <v>59</v>
      </c>
      <c r="P96" s="3"/>
      <c r="Q96" s="20" t="s">
        <v>57</v>
      </c>
      <c r="R96" s="2"/>
      <c r="S96" s="17" t="s">
        <v>86</v>
      </c>
      <c r="T96" s="1"/>
      <c r="U96" s="45" t="s">
        <v>57</v>
      </c>
      <c r="V96" s="2"/>
      <c r="W96" s="5"/>
      <c r="X96" s="3"/>
    </row>
    <row r="97" spans="1:24" ht="15.75" customHeight="1">
      <c r="A97" s="20" t="s">
        <v>60</v>
      </c>
      <c r="B97" s="2"/>
      <c r="C97" s="51" t="s">
        <v>58</v>
      </c>
      <c r="D97" s="1"/>
      <c r="E97" s="20" t="s">
        <v>60</v>
      </c>
      <c r="F97" s="2"/>
      <c r="G97" s="15"/>
      <c r="H97" s="1"/>
      <c r="I97" s="20" t="s">
        <v>60</v>
      </c>
      <c r="J97" s="2"/>
      <c r="K97" s="5"/>
      <c r="L97" s="1"/>
      <c r="M97" s="20" t="s">
        <v>60</v>
      </c>
      <c r="N97" s="2"/>
      <c r="O97" s="17" t="s">
        <v>59</v>
      </c>
      <c r="P97" s="3"/>
      <c r="Q97" s="20" t="s">
        <v>60</v>
      </c>
      <c r="R97" s="2"/>
      <c r="S97" s="17" t="s">
        <v>87</v>
      </c>
      <c r="T97" s="1"/>
      <c r="U97" s="45" t="s">
        <v>60</v>
      </c>
      <c r="V97" s="2"/>
      <c r="W97" s="5"/>
      <c r="X97" s="3"/>
    </row>
    <row r="98" spans="1:24" ht="15.75" customHeight="1">
      <c r="A98" s="20" t="s">
        <v>61</v>
      </c>
      <c r="B98" s="2"/>
      <c r="C98" s="17" t="s">
        <v>58</v>
      </c>
      <c r="D98" s="1"/>
      <c r="E98" s="20" t="s">
        <v>61</v>
      </c>
      <c r="F98" s="2"/>
      <c r="G98" s="5"/>
      <c r="H98" s="1"/>
      <c r="I98" s="20" t="s">
        <v>61</v>
      </c>
      <c r="J98" s="2"/>
      <c r="K98" s="5"/>
      <c r="L98" s="1"/>
      <c r="M98" s="20" t="s">
        <v>61</v>
      </c>
      <c r="N98" s="2"/>
      <c r="O98" s="17" t="s">
        <v>59</v>
      </c>
      <c r="P98" s="3"/>
      <c r="Q98" s="20" t="s">
        <v>61</v>
      </c>
      <c r="R98" s="2"/>
      <c r="S98" s="17" t="s">
        <v>87</v>
      </c>
      <c r="T98" s="1"/>
      <c r="U98" s="45" t="s">
        <v>61</v>
      </c>
      <c r="V98" s="2"/>
      <c r="W98" s="5"/>
      <c r="X98" s="3"/>
    </row>
    <row r="99" spans="1:24" ht="15.75" customHeight="1">
      <c r="A99" s="20" t="s">
        <v>62</v>
      </c>
      <c r="B99" s="2"/>
      <c r="C99" s="17" t="s">
        <v>58</v>
      </c>
      <c r="D99" s="1"/>
      <c r="E99" s="20" t="s">
        <v>62</v>
      </c>
      <c r="F99" s="2"/>
      <c r="G99" s="5"/>
      <c r="H99" s="1"/>
      <c r="I99" s="20" t="s">
        <v>62</v>
      </c>
      <c r="J99" s="2"/>
      <c r="K99" s="5"/>
      <c r="L99" s="1"/>
      <c r="M99" s="20" t="s">
        <v>62</v>
      </c>
      <c r="N99" s="2"/>
      <c r="O99" s="17" t="s">
        <v>59</v>
      </c>
      <c r="P99" s="3"/>
      <c r="Q99" s="20" t="s">
        <v>62</v>
      </c>
      <c r="R99" s="2"/>
      <c r="S99" s="17" t="s">
        <v>86</v>
      </c>
      <c r="T99" s="1"/>
      <c r="U99" s="45" t="s">
        <v>62</v>
      </c>
      <c r="V99" s="2"/>
      <c r="W99" s="5"/>
      <c r="X99" s="3"/>
    </row>
    <row r="100" spans="1:24" ht="15.75" customHeight="1">
      <c r="A100" s="20" t="s">
        <v>63</v>
      </c>
      <c r="B100" s="2"/>
      <c r="C100" s="17" t="s">
        <v>88</v>
      </c>
      <c r="D100" s="1"/>
      <c r="E100" s="20" t="s">
        <v>63</v>
      </c>
      <c r="F100" s="2"/>
      <c r="G100" s="5"/>
      <c r="H100" s="1"/>
      <c r="I100" s="20" t="s">
        <v>63</v>
      </c>
      <c r="J100" s="2"/>
      <c r="K100" s="5"/>
      <c r="L100" s="1"/>
      <c r="M100" s="20" t="s">
        <v>63</v>
      </c>
      <c r="N100" s="2"/>
      <c r="O100" s="17" t="s">
        <v>64</v>
      </c>
      <c r="P100" s="3"/>
      <c r="Q100" s="20" t="s">
        <v>63</v>
      </c>
      <c r="R100" s="2"/>
      <c r="S100" s="17" t="s">
        <v>64</v>
      </c>
      <c r="T100" s="1"/>
      <c r="U100" s="45" t="s">
        <v>63</v>
      </c>
      <c r="V100" s="2"/>
      <c r="W100" s="5"/>
      <c r="X100" s="3"/>
    </row>
    <row r="101" spans="1:24" ht="15.75" customHeight="1">
      <c r="A101" s="20" t="s">
        <v>66</v>
      </c>
      <c r="B101" s="2"/>
      <c r="C101" s="5" t="str">
        <f>IF(C95&gt;B981, "Positive", "Negative")</f>
        <v>Positive</v>
      </c>
      <c r="D101" s="1"/>
      <c r="E101" s="20" t="s">
        <v>66</v>
      </c>
      <c r="F101" s="2"/>
      <c r="G101" s="5" t="str">
        <f>IF(G95&gt;B981, "Positive", "Negative")</f>
        <v>Negative</v>
      </c>
      <c r="H101" s="1"/>
      <c r="I101" s="20" t="s">
        <v>66</v>
      </c>
      <c r="J101" s="2"/>
      <c r="K101" s="5" t="str">
        <f>IF(K95&gt;B981, "Positive", "Negative")</f>
        <v>Negative</v>
      </c>
      <c r="L101" s="1"/>
      <c r="M101" s="20" t="s">
        <v>66</v>
      </c>
      <c r="N101" s="2"/>
      <c r="O101" s="5" t="str">
        <f>IF(O95&gt;B981, "Positive", "Negative")</f>
        <v>Negative</v>
      </c>
      <c r="P101" s="3"/>
      <c r="Q101" s="20" t="s">
        <v>66</v>
      </c>
      <c r="R101" s="2"/>
      <c r="S101" s="5" t="str">
        <f>IF(S95&gt;B981, "Positive", "Negative")</f>
        <v>Positive</v>
      </c>
      <c r="T101" s="1"/>
      <c r="U101" s="45" t="s">
        <v>66</v>
      </c>
      <c r="V101" s="2"/>
      <c r="W101" s="5" t="str">
        <f>IF(W95&gt;$B$981, "Positive", "Negative")</f>
        <v>Negative</v>
      </c>
      <c r="X101" s="3"/>
    </row>
    <row r="102" spans="1:24" ht="15.75" customHeight="1">
      <c r="A102" s="20" t="s">
        <v>67</v>
      </c>
      <c r="B102" s="2"/>
      <c r="C102" s="17" t="s">
        <v>68</v>
      </c>
      <c r="D102" s="1"/>
      <c r="E102" s="20" t="s">
        <v>67</v>
      </c>
      <c r="F102" s="2"/>
      <c r="G102" s="5"/>
      <c r="H102" s="1"/>
      <c r="I102" s="20" t="s">
        <v>67</v>
      </c>
      <c r="J102" s="2"/>
      <c r="K102" s="5"/>
      <c r="L102" s="1"/>
      <c r="M102" s="20" t="s">
        <v>67</v>
      </c>
      <c r="N102" s="2"/>
      <c r="O102" s="5"/>
      <c r="P102" s="3"/>
      <c r="Q102" s="20" t="s">
        <v>67</v>
      </c>
      <c r="R102" s="2"/>
      <c r="S102" s="5"/>
      <c r="T102" s="1"/>
      <c r="U102" s="45" t="s">
        <v>67</v>
      </c>
      <c r="V102" s="2"/>
      <c r="W102" s="5"/>
      <c r="X102" s="3"/>
    </row>
    <row r="103" spans="1:24" ht="15.75" customHeight="1">
      <c r="A103" s="15"/>
      <c r="B103" s="2"/>
      <c r="C103" s="16"/>
      <c r="O103" s="69"/>
    </row>
    <row r="104" spans="1:24" ht="15.75" customHeight="1">
      <c r="O104" s="69"/>
    </row>
    <row r="105" spans="1:24">
      <c r="A105" s="70" t="s">
        <v>89</v>
      </c>
      <c r="O105" s="69"/>
    </row>
    <row r="106" spans="1:24" ht="15.75" customHeight="1">
      <c r="A106" s="71" t="s">
        <v>90</v>
      </c>
      <c r="B106" s="2"/>
      <c r="C106" s="25" t="s">
        <v>91</v>
      </c>
      <c r="D106" s="63" t="s">
        <v>92</v>
      </c>
      <c r="E106" s="63" t="s">
        <v>93</v>
      </c>
      <c r="F106" s="63" t="s">
        <v>94</v>
      </c>
      <c r="G106" s="63" t="s">
        <v>95</v>
      </c>
      <c r="H106" s="63" t="s">
        <v>96</v>
      </c>
    </row>
    <row r="107" spans="1:24" ht="15.75" customHeight="1">
      <c r="A107" s="72" t="s">
        <v>97</v>
      </c>
      <c r="C107" s="2" t="s">
        <v>98</v>
      </c>
      <c r="D107" s="2" t="s">
        <v>99</v>
      </c>
      <c r="E107" s="2" t="s">
        <v>100</v>
      </c>
      <c r="F107" s="2" t="s">
        <v>101</v>
      </c>
      <c r="G107" s="2" t="s">
        <v>102</v>
      </c>
      <c r="H107" s="63" t="s">
        <v>96</v>
      </c>
    </row>
    <row r="108" spans="1:24" ht="15.75" customHeight="1">
      <c r="A108" s="73" t="str">
        <f ca="1">IFERROR(__xludf.DUMMYFUNCTION("IMPORTRANGE(""12tmwbDwibV62zKOh4wo_LVGcWqZMQb_Z7Ed4DSpUlqQ"", ""A1:B1"")"),"")</f>
        <v/>
      </c>
      <c r="B108" s="2" t="str">
        <f ca="1">IFERROR(__xludf.DUMMYFUNCTION("""COMPUTED_VALUE"""),"")</f>
        <v/>
      </c>
      <c r="C108" s="2"/>
      <c r="D108" s="2"/>
      <c r="E108" s="2"/>
      <c r="F108" s="2"/>
      <c r="G108" s="2"/>
    </row>
    <row r="109" spans="1:24" ht="15.75" customHeight="1">
      <c r="A109" s="20"/>
      <c r="B109" s="2"/>
      <c r="C109" s="15"/>
    </row>
    <row r="113" spans="1:3" ht="15.75" customHeight="1">
      <c r="A113" s="20"/>
      <c r="B113" s="2"/>
      <c r="C113" s="5"/>
    </row>
    <row r="114" spans="1:3" ht="15.75" customHeight="1">
      <c r="A114" s="20"/>
      <c r="B114" s="2"/>
      <c r="C114" s="5"/>
    </row>
    <row r="115" spans="1:3" ht="15.75" customHeight="1">
      <c r="A115" s="20"/>
      <c r="B115" s="2"/>
      <c r="C115" s="5"/>
    </row>
    <row r="535" spans="1:1" ht="15.75" customHeight="1">
      <c r="A535" s="74"/>
    </row>
    <row r="924" spans="1:1" ht="15.75" customHeight="1">
      <c r="A924" s="75"/>
    </row>
    <row r="929" spans="1:14" ht="15.75" customHeight="1">
      <c r="A929" s="75"/>
    </row>
    <row r="930" spans="1:14" ht="15.75" customHeight="1">
      <c r="A930" s="2"/>
    </row>
    <row r="931" spans="1:14" ht="15.75" customHeight="1">
      <c r="A931" s="2"/>
      <c r="B931" s="75"/>
      <c r="C931" s="75"/>
      <c r="D931" s="75"/>
      <c r="E931" s="75"/>
      <c r="F931" s="75"/>
      <c r="G931" s="75"/>
      <c r="H931" s="75"/>
    </row>
    <row r="932" spans="1:14" ht="15.75" customHeight="1">
      <c r="A932" s="2"/>
    </row>
    <row r="933" spans="1:14" ht="15.75" customHeight="1">
      <c r="A933" s="76"/>
    </row>
    <row r="934" spans="1:14" ht="15.75" customHeight="1">
      <c r="A934" s="2"/>
    </row>
    <row r="935" spans="1:14" ht="15.75" customHeight="1">
      <c r="A935" s="76"/>
    </row>
    <row r="936" spans="1:14" ht="15.75" customHeight="1">
      <c r="A936" s="2"/>
    </row>
    <row r="937" spans="1:14" ht="15.75" customHeight="1">
      <c r="A937" s="76"/>
    </row>
    <row r="938" spans="1:14" ht="15.75" customHeight="1">
      <c r="A938" s="76"/>
      <c r="N938" s="43"/>
    </row>
    <row r="939" spans="1:14" ht="15.75" customHeight="1">
      <c r="A939" s="77"/>
    </row>
    <row r="940" spans="1:14" ht="15.75" customHeight="1">
      <c r="A940" s="2"/>
    </row>
    <row r="941" spans="1:14" ht="15.75" customHeight="1">
      <c r="A941" s="76"/>
    </row>
    <row r="942" spans="1:14" ht="15.75" customHeight="1">
      <c r="A942" s="2"/>
    </row>
    <row r="943" spans="1:14" ht="15.75" customHeight="1">
      <c r="A943" s="76"/>
    </row>
    <row r="944" spans="1:14" ht="15.75" customHeight="1">
      <c r="A944" s="2"/>
    </row>
    <row r="945" spans="1:13" ht="15.75" customHeight="1">
      <c r="A945" s="76"/>
    </row>
    <row r="946" spans="1:13" ht="15.75" customHeight="1">
      <c r="A946" s="2"/>
    </row>
    <row r="949" spans="1:13">
      <c r="A949" s="78" t="s">
        <v>104</v>
      </c>
      <c r="M949" s="79"/>
    </row>
    <row r="950" spans="1:13" ht="15.75" customHeight="1">
      <c r="A950" s="63" t="s">
        <v>103</v>
      </c>
      <c r="B950" s="80">
        <f>AVERAGE(C26,K26,O26,S26,S49,O49,K49,C49,S72,O72,S72,C72,G72,K72,S95,O95,K95,W26,W49,W72,W95,G95,C95,G49)</f>
        <v>7.25</v>
      </c>
      <c r="M950" s="79"/>
    </row>
    <row r="951" spans="1:13" ht="15.75" customHeight="1">
      <c r="A951" s="63" t="s">
        <v>105</v>
      </c>
      <c r="B951" s="74">
        <f>MAX(C26,G26,K26,O26,S26,S49,O49,K49,G49,C49,C72,G72,K72,O72,S72,S95,O95,K95,G95,C95,W26,W49,W72,W95)</f>
        <v>27.5</v>
      </c>
      <c r="C951" t="str">
        <f>IF(B951=0, "Nobody yet", IF(B951=G26, G13, IF(B951=C26, C13, IF(B951=K26, K13, IF(B951=S26, S13, IF(B951=O26, O13, IF(B951=S49, S36, IF(B951=C49, C36, IF(B951=K49, K36, IF(B951=G49, G36, IF(B951=O49, O36, IF(B951=G72, G59, IF(B951=C72, C59, IF(B951=K72, K59, IF(B951=S72, S59, IF(B951=O72, O59, IF(B951=G95, G82, IF(B951=C95, C82, IF(B951=K95, K82, IF(B951=O95, O82, IF(B951=S95, S82, IF(B951=W26, W13, IF(B951=W49, W36, IF(B951=W72, W59, IF(B951=W95, W82,)))))))))))))))))))))))))</f>
        <v>Arqueiro</v>
      </c>
      <c r="M951" s="79"/>
    </row>
    <row r="952" spans="1:13" ht="15.75" customHeight="1">
      <c r="A952" s="63" t="s">
        <v>106</v>
      </c>
      <c r="B952" s="74">
        <f>SUM(C26,G26,K26,O26,S26,S49,O49,K49,G49,C49,C72,G72,K72,O72,S72,S95,C95,G95,O95,K95,W26,W49,W72,W95)</f>
        <v>158.5</v>
      </c>
      <c r="M952" s="79"/>
    </row>
    <row r="953" spans="1:13" ht="15.75" customHeight="1">
      <c r="A953" s="63" t="s">
        <v>107</v>
      </c>
      <c r="B953" s="74">
        <v>4</v>
      </c>
      <c r="M953" s="79"/>
    </row>
    <row r="954" spans="1:13" ht="15.75" customHeight="1">
      <c r="A954" s="63" t="s">
        <v>108</v>
      </c>
      <c r="B954" s="74">
        <v>5</v>
      </c>
      <c r="M954" s="79"/>
    </row>
    <row r="955" spans="1:13" ht="15.75" customHeight="1">
      <c r="A955" s="63" t="s">
        <v>109</v>
      </c>
      <c r="B955" s="74">
        <v>0</v>
      </c>
      <c r="M955" s="79"/>
    </row>
    <row r="956" spans="1:13" ht="15.75" customHeight="1">
      <c r="A956" s="63" t="s">
        <v>110</v>
      </c>
      <c r="B956" s="74">
        <v>8</v>
      </c>
    </row>
    <row r="957" spans="1:13" ht="15.75" customHeight="1">
      <c r="A957" s="63" t="s">
        <v>111</v>
      </c>
      <c r="B957" s="74">
        <v>0</v>
      </c>
    </row>
    <row r="958" spans="1:13" ht="15.75" customHeight="1">
      <c r="A958" s="63" t="s">
        <v>112</v>
      </c>
      <c r="B958" s="74">
        <v>7</v>
      </c>
    </row>
    <row r="959" spans="1:13" ht="15.75" customHeight="1">
      <c r="A959" s="63" t="s">
        <v>113</v>
      </c>
      <c r="B959" s="74">
        <v>9</v>
      </c>
    </row>
    <row r="960" spans="1:13" ht="15.75" customHeight="1">
      <c r="A960" s="63" t="s">
        <v>114</v>
      </c>
      <c r="B960" s="74">
        <f t="shared" ref="B960:B966" si="0">SUM(C19+G19+K19+O19+S19+S42+O42+K42+G42+C42+C65+G65+K65+O65+S65+S88+O88+K88+G88+C88+W19+W42+W65+W88)</f>
        <v>0</v>
      </c>
    </row>
    <row r="961" spans="1:21" ht="15.75" customHeight="1">
      <c r="A961" s="63" t="s">
        <v>115</v>
      </c>
      <c r="B961" s="74">
        <f t="shared" si="0"/>
        <v>1</v>
      </c>
    </row>
    <row r="962" spans="1:21" ht="15.75" customHeight="1">
      <c r="A962" s="63" t="s">
        <v>116</v>
      </c>
      <c r="B962" s="74">
        <f t="shared" si="0"/>
        <v>5</v>
      </c>
    </row>
    <row r="963" spans="1:21" ht="15.75" customHeight="1">
      <c r="A963" s="63" t="s">
        <v>117</v>
      </c>
      <c r="B963" s="74">
        <f t="shared" si="0"/>
        <v>18</v>
      </c>
    </row>
    <row r="964" spans="1:21" ht="15.75" customHeight="1">
      <c r="A964" s="63" t="s">
        <v>118</v>
      </c>
      <c r="B964" s="74">
        <f t="shared" si="0"/>
        <v>44</v>
      </c>
    </row>
    <row r="965" spans="1:21" ht="15.75" customHeight="1">
      <c r="A965" s="63" t="s">
        <v>119</v>
      </c>
      <c r="B965" s="74">
        <f t="shared" si="0"/>
        <v>6</v>
      </c>
    </row>
    <row r="966" spans="1:21" ht="15.75" customHeight="1">
      <c r="A966" s="63" t="s">
        <v>120</v>
      </c>
      <c r="B966" s="74">
        <f t="shared" si="0"/>
        <v>27</v>
      </c>
    </row>
    <row r="967" spans="1:21" ht="15.75" customHeight="1">
      <c r="A967" s="2" t="s">
        <v>121</v>
      </c>
      <c r="B967" s="81">
        <f t="shared" ref="B967:B973" si="1">MAX(C19,G19,K19,O19,S19,S19,S42,O42,K42,G42,C42,C65,G65,K65,O65,S65,S88,O88,K88,G88,C88,W19,W42,W65,W88)</f>
        <v>0</v>
      </c>
      <c r="C967" s="2" t="str">
        <f>IF(B967=0, "Nobody yet", IF(B967=G19, G13, IF(B967=C19, C13, IF(B967=K19, K13, IF(B967=S19, S13, IF(B967=O19, O13, IF(B967=S42, S36, IF(B967=C42, C36, IF(B967=K42, K36, IF(B967=G41, G36, IF(B967=O42, O36, IF(B967=G65, G59, IF(B967=C65, C59, IF(B967=K65, K59, IF(B967=S65, S59, IF(B967=O65, O59, IF(B967=G88, G82, IF(B967=C88, C82, IF(B967=K88, K82, IF(B967=O88, O82, IF(B967=S88, S82, IF(B967=W19, W13, IF(B967=W42, W36, IF(B967=W65, W59, IF(B967=W88, W82)))))))))))))))))))))))))</f>
        <v>Nobody yet</v>
      </c>
    </row>
    <row r="968" spans="1:21" ht="15.75" customHeight="1">
      <c r="A968" s="2" t="s">
        <v>122</v>
      </c>
      <c r="B968" s="81">
        <f t="shared" si="1"/>
        <v>1</v>
      </c>
      <c r="C968" s="2" t="str">
        <f>IF(B968=0, "Nobody yet", IF(B968=G20, G13, IF(B968=C20, C13, IF(B968=K20, K13, IF(B968=S20, S13, IF(B968=O20, O13, IF(B968=S43, S36, IF(B968=C43, C36, IF(B968=K43, K36, IF(B968=G42, G36, IF(B968=O43, O36, IF(B968=G66, G59, IF(B968=C66, C59, IF(B968=K66, K59, IF(B968=S66, S59, IF(B968=O66, O59, IF(B968=C89, C82, IF(B968=K89, K82, IF(B968=O89, O82, IF(B968=S89, S82, IF(B968=W43, W36, IF(B968=W20, W13, IF(B968=W66, W59, IF(B968=W89, W82))))))))))))))))))))))))</f>
        <v>Flume</v>
      </c>
    </row>
    <row r="969" spans="1:21" ht="15.75" customHeight="1">
      <c r="A969" s="2" t="s">
        <v>123</v>
      </c>
      <c r="B969" s="81">
        <f t="shared" si="1"/>
        <v>1</v>
      </c>
      <c r="C969" s="2" t="str">
        <f>IF(B969=0, "Nobody yet", IF(B969=G21, G13, IF(B969=C21, C13, IF(B969=K21, K13, IF(B969=S21, S13, IF(B969=O21, O13, IF(B969=S44, S36, IF(B969=C44, C36, IF(B969=K44, K36, IF(B969=G43, G36, IF(B969=O44, O36, IF(B969=G67, G59, IF(B969=C67, C59, IF(B969=K67, K59, IF(B969=S67, S59, IF(B969=O67, O59, IF(B969=G90, G82, IF(B969=C90, C82, IF(B969=K90, K82, IF(B969=O90, O82, IF(B969=S90, S82, IF(B969=W21, W13, IF(B969=W44, W36, IF(B969=W67, W59, IF(B969=W90, W82)))))))))))))))))))))))))</f>
        <v>Skyline</v>
      </c>
    </row>
    <row r="970" spans="1:21" ht="15.75" customHeight="1">
      <c r="A970" s="2" t="s">
        <v>124</v>
      </c>
      <c r="B970" s="81">
        <f t="shared" si="1"/>
        <v>11</v>
      </c>
      <c r="C970" s="2" t="str">
        <f>IF(B970=0, "Nobody yet", IF(B970=G22, G13, IF(B970=C22, C13, IF(B970=K22, K13, IF(B970=S22, S13, IF(B970=O22, O13, IF(B970=S45, S36, IF(B970=C45, C36, IF(B970=K45, K36, IF(B970=G44, G36, IF(B970=O45, O36, IF(B970=G68, G59, IF(B970=C68, C59, IF(B970=K68, K59, IF(B970=S68, S59, IF(B970=O68, O59, IF(B970=G91, G82, IF(B970=C91, C82, IF(B970=K91, K82, IF(B970=O91, O82, IF(B970=S91, S82, IF(B970=W22, W13, IF(B970=W45, W36, IF(B970=W68, W59, IF(B970=W91, W82,)))))))))))))))))))))))))</f>
        <v>Arqueiro</v>
      </c>
    </row>
    <row r="971" spans="1:21" ht="15.75" customHeight="1">
      <c r="A971" s="2" t="s">
        <v>125</v>
      </c>
      <c r="B971" s="81">
        <f t="shared" si="1"/>
        <v>10</v>
      </c>
      <c r="C971" s="2" t="str">
        <f>IF(B971=0, "Nobody yet", IF(B971=G23, G13, IF(B971=C23, C13, IF(B971=K23, K13, IF(B971=S23, S13, IF(B971=O23, O13, IF(B971=S46, S36, IF(B971=C46, C36, IF(B971=K46, K36, IF(B971=G46, G36, IF(B971=O46, O36, IF(B971=G69, G59, IF(B971=C69, C59, IF(B971=K69, K59, IF(B971=S69, S59, IF(B971=O69, O59, IF(B971=G92, G82, IF(B971=C92, C82, IF(B971=K92, K82, IF(B971=O92, O82, IF(B971=S92, S82, IF(B971=W23, W13, IF(B971=W46, W36, IF(B971=W69, W59, IF(B971=W92, W82)))))))))))))))))))))))))</f>
        <v>Hamasa</v>
      </c>
    </row>
    <row r="972" spans="1:21" ht="15.75" customHeight="1">
      <c r="A972" s="2" t="s">
        <v>126</v>
      </c>
      <c r="B972" s="81">
        <f t="shared" si="1"/>
        <v>2</v>
      </c>
      <c r="C972" s="2" t="str">
        <f>IF(B972=0, "Nobody yet", IF(B972=G24, G13, IF(B972=C24, C13, IF(B972=K24, K13, IF(B972=S24, S13, IF(B972=O24, O13, IF(B972=S47, S36, IF(B972=C47, C36, IF(B972=K47, K36, IF(B972=G46, G36, IF(B972=O47, O36, IF(B972=G70, G59, IF(B972=C70, C59, IF(B972=K70, K59, IF(B972=S70, S59, IF(B972=O70, O59, IF(B972=C93, C82, IF(B972=G93, G82, IF(B972=K93, K82, IF(B972=O93, O82, IF(B972=S93, S82, IF(B972=W24, W13, IF(B972=W47,W36, IF(B972=W70, W59, IF(B972=W93, W82)))))))))))))))))))))))))</f>
        <v>Dudu</v>
      </c>
      <c r="R972" s="61"/>
      <c r="S972" s="82"/>
      <c r="T972" s="82"/>
    </row>
    <row r="973" spans="1:21" ht="15.75" customHeight="1">
      <c r="A973" s="2" t="s">
        <v>127</v>
      </c>
      <c r="B973" s="81">
        <f t="shared" si="1"/>
        <v>5</v>
      </c>
      <c r="C973" s="2" t="str">
        <f>IF(B973=0, "Nobody yet", IF(B973=G25, G13, IF(B973=C25, C13, IF(B973=K25, K13, IF(B973=S25, S13, IF(B973=O25, O13, IF(B973=S48, S36, IF(B973=C48, C36, IF(B973=K48, K36, IF(B973=G47, G36, IF(B973=O48, O36, IF(B973=G71, G59, IF(B973=C71, C59, IF(B973=K71, K59, IF(B973=S71, S59, IF(B973=O71, O59, IF(B973=G94, G82, IF(B973=C94, C82, IF(B973=K94, K82, IF(B973=O94, O82, IF(B973=S94, S82, IF(B973=W25, W13, IF(B973=W48, W36, IF(B973=W71, W59, IF(B973=W94, W82)))))))))))))))))))))))))</f>
        <v>Hamasa</v>
      </c>
    </row>
    <row r="975" spans="1:21">
      <c r="A975" s="78" t="s">
        <v>128</v>
      </c>
      <c r="M975" s="83"/>
      <c r="N975" s="83"/>
      <c r="O975" s="83"/>
      <c r="P975" s="83"/>
      <c r="Q975" s="83"/>
      <c r="R975" s="83"/>
      <c r="S975" s="75"/>
      <c r="T975" s="75"/>
      <c r="U975" s="75"/>
    </row>
    <row r="976" spans="1:21" ht="15.75" customHeight="1">
      <c r="A976" s="63" t="s">
        <v>129</v>
      </c>
      <c r="B976" s="63">
        <v>15.1</v>
      </c>
      <c r="C976" s="63" t="s">
        <v>130</v>
      </c>
      <c r="M976" s="84"/>
      <c r="N976" s="84"/>
      <c r="O976" s="84"/>
      <c r="P976" s="84"/>
      <c r="Q976" s="84"/>
      <c r="R976" s="84"/>
      <c r="T976" s="50"/>
    </row>
    <row r="977" spans="1:20" ht="15.75" customHeight="1">
      <c r="A977" s="63" t="s">
        <v>108</v>
      </c>
      <c r="B977" s="63">
        <v>15.1</v>
      </c>
      <c r="C977" s="63" t="s">
        <v>131</v>
      </c>
      <c r="M977" s="74"/>
      <c r="N977" s="74"/>
      <c r="O977" s="74"/>
      <c r="P977" s="74"/>
      <c r="Q977" s="74"/>
      <c r="R977" s="74"/>
      <c r="T977" s="50"/>
    </row>
    <row r="978" spans="1:20" ht="15.75" customHeight="1">
      <c r="A978" s="63" t="s">
        <v>109</v>
      </c>
      <c r="B978" s="63">
        <v>8.1</v>
      </c>
      <c r="C978" s="63" t="s">
        <v>132</v>
      </c>
      <c r="M978" s="74"/>
      <c r="N978" s="74"/>
      <c r="O978" s="74"/>
      <c r="P978" s="74"/>
      <c r="Q978" s="74"/>
      <c r="R978" s="74"/>
      <c r="T978" s="50"/>
    </row>
    <row r="979" spans="1:20" ht="15.75" customHeight="1">
      <c r="A979" s="63" t="s">
        <v>110</v>
      </c>
      <c r="B979" s="63">
        <v>3.1</v>
      </c>
      <c r="C979" s="63" t="s">
        <v>133</v>
      </c>
      <c r="M979" s="74"/>
      <c r="N979" s="74"/>
      <c r="O979" s="74"/>
      <c r="P979" s="74"/>
      <c r="Q979" s="74"/>
      <c r="R979" s="74"/>
      <c r="T979" s="50"/>
    </row>
    <row r="980" spans="1:20" ht="15.75" customHeight="1">
      <c r="A980" s="63" t="s">
        <v>112</v>
      </c>
      <c r="B980" s="43">
        <v>0</v>
      </c>
      <c r="C980" s="63">
        <v>0</v>
      </c>
      <c r="K980" s="75"/>
      <c r="M980" s="74"/>
      <c r="N980" s="74"/>
      <c r="O980" s="74"/>
      <c r="P980" s="74"/>
      <c r="Q980" s="74"/>
      <c r="R980" s="74"/>
      <c r="T980" s="50"/>
    </row>
    <row r="981" spans="1:20">
      <c r="A981" s="63" t="s">
        <v>134</v>
      </c>
      <c r="B981" s="63">
        <v>7.9</v>
      </c>
      <c r="C981" s="63" t="s">
        <v>135</v>
      </c>
      <c r="J981" s="85"/>
      <c r="K981" s="86"/>
      <c r="M981" s="74"/>
      <c r="N981" s="74"/>
      <c r="O981" s="74"/>
      <c r="P981" s="74"/>
      <c r="Q981" s="74"/>
      <c r="R981" s="74"/>
      <c r="T981" s="50"/>
    </row>
    <row r="982" spans="1:20">
      <c r="A982" s="70"/>
      <c r="J982" s="85"/>
      <c r="K982" s="86"/>
      <c r="M982" s="74"/>
      <c r="N982" s="74"/>
      <c r="O982" s="74"/>
      <c r="P982" s="74"/>
      <c r="Q982" s="74"/>
      <c r="R982" s="74"/>
      <c r="T982" s="50"/>
    </row>
    <row r="983" spans="1:20">
      <c r="A983" s="63" t="s">
        <v>114</v>
      </c>
      <c r="B983" s="63">
        <v>4</v>
      </c>
      <c r="J983" s="85"/>
      <c r="K983" s="86"/>
      <c r="M983" s="74"/>
      <c r="N983" s="74"/>
      <c r="O983" s="74"/>
      <c r="P983" s="74"/>
      <c r="Q983" s="74"/>
      <c r="R983" s="74"/>
      <c r="T983" s="50"/>
    </row>
    <row r="984" spans="1:20">
      <c r="A984" s="63" t="s">
        <v>115</v>
      </c>
      <c r="B984" s="43">
        <v>2</v>
      </c>
      <c r="J984" s="87"/>
      <c r="K984" s="86"/>
      <c r="M984" s="74"/>
      <c r="N984" s="74"/>
      <c r="O984" s="74"/>
      <c r="P984" s="74"/>
      <c r="Q984" s="74"/>
      <c r="R984" s="74"/>
      <c r="T984" s="50"/>
    </row>
    <row r="985" spans="1:20">
      <c r="A985" s="63" t="s">
        <v>116</v>
      </c>
      <c r="B985" s="63">
        <v>1.5</v>
      </c>
      <c r="J985" s="85"/>
      <c r="K985" s="86"/>
      <c r="M985" s="74"/>
      <c r="N985" s="74"/>
      <c r="O985" s="74"/>
      <c r="P985" s="74"/>
      <c r="Q985" s="74"/>
      <c r="R985" s="74"/>
      <c r="T985" s="50"/>
    </row>
    <row r="986" spans="1:20">
      <c r="A986" s="63" t="s">
        <v>117</v>
      </c>
      <c r="B986" s="63">
        <v>1.5</v>
      </c>
      <c r="J986" s="87"/>
      <c r="K986" s="86"/>
      <c r="M986" s="74"/>
      <c r="N986" s="74"/>
      <c r="O986" s="74"/>
      <c r="P986" s="74"/>
      <c r="Q986" s="74"/>
      <c r="R986" s="74"/>
      <c r="T986" s="50"/>
    </row>
    <row r="987" spans="1:20">
      <c r="A987" s="63" t="s">
        <v>118</v>
      </c>
      <c r="B987" s="63">
        <v>1</v>
      </c>
      <c r="J987" s="85"/>
      <c r="K987" s="86"/>
      <c r="M987" s="74"/>
      <c r="N987" s="74"/>
      <c r="O987" s="74"/>
      <c r="P987" s="74"/>
      <c r="Q987" s="74"/>
      <c r="R987" s="74"/>
      <c r="T987" s="50"/>
    </row>
    <row r="988" spans="1:20">
      <c r="A988" s="63" t="s">
        <v>119</v>
      </c>
      <c r="B988" s="63">
        <v>4</v>
      </c>
      <c r="J988" s="87"/>
      <c r="K988" s="86"/>
      <c r="M988" s="74"/>
      <c r="N988" s="74"/>
      <c r="O988" s="74"/>
      <c r="P988" s="74"/>
      <c r="Q988" s="74"/>
      <c r="R988" s="74"/>
      <c r="T988" s="50"/>
    </row>
    <row r="989" spans="1:20">
      <c r="A989" s="63" t="s">
        <v>120</v>
      </c>
      <c r="B989" s="63">
        <v>2</v>
      </c>
      <c r="J989" s="87"/>
      <c r="K989" s="86"/>
      <c r="M989" s="74"/>
      <c r="N989" s="74"/>
      <c r="O989" s="74"/>
      <c r="P989" s="74"/>
      <c r="Q989" s="74"/>
      <c r="R989" s="74"/>
      <c r="T989" s="50"/>
    </row>
    <row r="990" spans="1:20">
      <c r="J990" s="88"/>
      <c r="K990" s="86"/>
      <c r="M990" s="74"/>
      <c r="N990" s="74"/>
      <c r="O990" s="74"/>
      <c r="P990" s="74"/>
      <c r="Q990" s="74"/>
      <c r="R990" s="74"/>
      <c r="T990" s="50"/>
    </row>
    <row r="991" spans="1:20">
      <c r="J991" s="85"/>
      <c r="K991" s="86"/>
      <c r="M991" s="74"/>
      <c r="N991" s="74"/>
      <c r="O991" s="74"/>
      <c r="P991" s="74"/>
      <c r="Q991" s="74"/>
      <c r="R991" s="74"/>
      <c r="T991" s="50"/>
    </row>
    <row r="992" spans="1:20">
      <c r="A992" s="89">
        <f ca="1">TODAY()</f>
        <v>43420</v>
      </c>
      <c r="J992" s="87"/>
      <c r="K992" s="86"/>
      <c r="M992" s="74"/>
      <c r="N992" s="74"/>
      <c r="O992" s="74"/>
      <c r="P992" s="74"/>
      <c r="Q992" s="74"/>
      <c r="R992" s="74"/>
      <c r="T992" s="50"/>
    </row>
    <row r="993" spans="1:21">
      <c r="J993" s="85"/>
      <c r="K993" s="86"/>
      <c r="M993" s="74"/>
      <c r="N993" s="74"/>
      <c r="O993" s="74"/>
      <c r="P993" s="74"/>
      <c r="Q993" s="74"/>
      <c r="R993" s="74"/>
      <c r="T993" s="50"/>
    </row>
    <row r="994" spans="1:21">
      <c r="A994" s="69" t="s">
        <v>136</v>
      </c>
      <c r="J994" s="87"/>
      <c r="K994" s="86"/>
      <c r="M994" s="74"/>
      <c r="N994" s="74"/>
      <c r="O994" s="74"/>
      <c r="P994" s="74"/>
      <c r="Q994" s="74"/>
      <c r="R994" s="74"/>
      <c r="T994" s="50"/>
    </row>
    <row r="995" spans="1:21">
      <c r="A995" s="69" t="s">
        <v>137</v>
      </c>
      <c r="J995" s="85"/>
      <c r="K995" s="86"/>
      <c r="M995" s="74"/>
      <c r="N995" s="74"/>
      <c r="O995" s="74"/>
      <c r="P995" s="74"/>
      <c r="Q995" s="74"/>
      <c r="R995" s="74"/>
      <c r="T995" s="50"/>
    </row>
    <row r="996" spans="1:21">
      <c r="A996" s="69" t="s">
        <v>138</v>
      </c>
      <c r="J996" s="87"/>
      <c r="K996" s="86"/>
      <c r="U996" s="90"/>
    </row>
    <row r="997" spans="1:21">
      <c r="A997" s="91" t="s">
        <v>139</v>
      </c>
      <c r="J997" s="85"/>
      <c r="K997" s="86"/>
    </row>
    <row r="998" spans="1:21">
      <c r="A998" s="91" t="s">
        <v>140</v>
      </c>
      <c r="J998" s="87"/>
      <c r="K998" s="86"/>
    </row>
    <row r="999" spans="1:21">
      <c r="A999" s="69" t="s">
        <v>141</v>
      </c>
      <c r="J999" s="50"/>
      <c r="K999" s="86"/>
    </row>
    <row r="1000" spans="1:21">
      <c r="A1000" s="69" t="s">
        <v>142</v>
      </c>
      <c r="J1000" s="50"/>
      <c r="K1000" s="86"/>
    </row>
    <row r="1005" spans="1:21" ht="15.75" customHeight="1">
      <c r="A1005" s="92" t="s">
        <v>143</v>
      </c>
      <c r="B1005" s="93" t="s">
        <v>114</v>
      </c>
      <c r="C1005" s="93" t="s">
        <v>115</v>
      </c>
      <c r="D1005" s="93" t="s">
        <v>116</v>
      </c>
      <c r="E1005" s="93" t="s">
        <v>117</v>
      </c>
      <c r="F1005" s="93" t="s">
        <v>118</v>
      </c>
      <c r="G1005" s="93" t="s">
        <v>119</v>
      </c>
      <c r="H1005" s="93" t="s">
        <v>120</v>
      </c>
      <c r="I1005" s="92" t="s">
        <v>144</v>
      </c>
    </row>
    <row r="1006" spans="1:21">
      <c r="A1006" s="85" t="str">
        <f>C13</f>
        <v>Titan</v>
      </c>
      <c r="B1006" s="41">
        <f t="shared" ref="B1006:B1010" si="2">HLOOKUP(A1006, $A$13:$T$33, 7, 0)</f>
        <v>0</v>
      </c>
      <c r="C1006" s="41">
        <f t="shared" ref="C1006:C1010" si="3">HLOOKUP(A1006, $A$13:$T$33, 8, 0)</f>
        <v>0</v>
      </c>
      <c r="D1006" s="41">
        <f t="shared" ref="D1006:D1010" si="4">HLOOKUP(A1006, $A$13:$T$33, 9, 0)</f>
        <v>0</v>
      </c>
      <c r="E1006" s="41">
        <f t="shared" ref="E1006:E1010" si="5">HLOOKUP(A1006, $A$13:$T$33, 10, 0)</f>
        <v>1</v>
      </c>
      <c r="F1006" s="41">
        <f t="shared" ref="F1006:F1010" si="6">HLOOKUP(A1006, $A$13:$T$33, 11, 0)</f>
        <v>1</v>
      </c>
      <c r="G1006" s="41">
        <f t="shared" ref="G1006:G1010" si="7">HLOOKUP(A1006, $A$13:$T$33, 12, 0)</f>
        <v>0</v>
      </c>
      <c r="H1006" s="41">
        <f t="shared" ref="H1006:H1010" si="8">HLOOKUP(A1006, $A$13:$T$33, 13, 0)</f>
        <v>0</v>
      </c>
      <c r="I1006" s="94">
        <f t="shared" ref="I1006:I1010" si="9">HLOOKUP(A1006, $A$13:$T$33, 14, 0)</f>
        <v>2.5</v>
      </c>
    </row>
    <row r="1007" spans="1:21">
      <c r="A1007" s="95" t="str">
        <f>G13</f>
        <v>Flume</v>
      </c>
      <c r="B1007" s="41">
        <f t="shared" si="2"/>
        <v>0</v>
      </c>
      <c r="C1007" s="41">
        <f t="shared" si="3"/>
        <v>1</v>
      </c>
      <c r="D1007" s="41">
        <f t="shared" si="4"/>
        <v>0</v>
      </c>
      <c r="E1007" s="41">
        <f t="shared" si="5"/>
        <v>2</v>
      </c>
      <c r="F1007" s="41">
        <f t="shared" si="6"/>
        <v>3</v>
      </c>
      <c r="G1007" s="41">
        <f t="shared" si="7"/>
        <v>0</v>
      </c>
      <c r="H1007" s="41">
        <f t="shared" si="8"/>
        <v>1</v>
      </c>
      <c r="I1007" s="94">
        <f t="shared" si="9"/>
        <v>10</v>
      </c>
    </row>
    <row r="1008" spans="1:21">
      <c r="A1008" s="95" t="str">
        <f>K13</f>
        <v>Skyline</v>
      </c>
      <c r="B1008" s="41">
        <f t="shared" si="2"/>
        <v>0</v>
      </c>
      <c r="C1008" s="41">
        <f t="shared" si="3"/>
        <v>0</v>
      </c>
      <c r="D1008" s="41">
        <f t="shared" si="4"/>
        <v>1</v>
      </c>
      <c r="E1008" s="41">
        <f t="shared" si="5"/>
        <v>0</v>
      </c>
      <c r="F1008" s="41">
        <f t="shared" si="6"/>
        <v>2</v>
      </c>
      <c r="G1008" s="41">
        <f t="shared" si="7"/>
        <v>1</v>
      </c>
      <c r="H1008" s="41">
        <f t="shared" si="8"/>
        <v>4</v>
      </c>
      <c r="I1008" s="94">
        <f t="shared" si="9"/>
        <v>15.5</v>
      </c>
    </row>
    <row r="1009" spans="1:9">
      <c r="A1009" s="95" t="str">
        <f>O13</f>
        <v>Albino</v>
      </c>
      <c r="B1009" s="41">
        <f t="shared" si="2"/>
        <v>0</v>
      </c>
      <c r="C1009" s="41">
        <f t="shared" si="3"/>
        <v>0</v>
      </c>
      <c r="D1009" s="41">
        <f t="shared" si="4"/>
        <v>0</v>
      </c>
      <c r="E1009" s="41">
        <f t="shared" si="5"/>
        <v>0</v>
      </c>
      <c r="F1009" s="41">
        <f t="shared" si="6"/>
        <v>0</v>
      </c>
      <c r="G1009" s="41">
        <f t="shared" si="7"/>
        <v>0</v>
      </c>
      <c r="H1009" s="41">
        <f t="shared" si="8"/>
        <v>0</v>
      </c>
      <c r="I1009" s="94">
        <f t="shared" si="9"/>
        <v>0</v>
      </c>
    </row>
    <row r="1010" spans="1:9">
      <c r="A1010" s="50" t="str">
        <f>S13</f>
        <v>Juba</v>
      </c>
      <c r="B1010" s="41">
        <f t="shared" si="2"/>
        <v>0</v>
      </c>
      <c r="C1010" s="41">
        <f t="shared" si="3"/>
        <v>0</v>
      </c>
      <c r="D1010" s="41">
        <f t="shared" si="4"/>
        <v>0</v>
      </c>
      <c r="E1010" s="41">
        <f t="shared" si="5"/>
        <v>0</v>
      </c>
      <c r="F1010" s="41">
        <f t="shared" si="6"/>
        <v>1</v>
      </c>
      <c r="G1010" s="41">
        <f t="shared" si="7"/>
        <v>0</v>
      </c>
      <c r="H1010" s="41">
        <f t="shared" si="8"/>
        <v>1</v>
      </c>
      <c r="I1010" s="94">
        <f t="shared" si="9"/>
        <v>3</v>
      </c>
    </row>
    <row r="1011" spans="1:9">
      <c r="A1011" s="50" t="str">
        <f>W13</f>
        <v>sUfOtsaLehT</v>
      </c>
      <c r="B1011" s="41">
        <f>HLOOKUP(A1011, $A$13:$X$33, 7, 0)</f>
        <v>0</v>
      </c>
      <c r="C1011" s="41">
        <f>HLOOKUP(A1011, $A$13:$X$33, 8, 0)</f>
        <v>0</v>
      </c>
      <c r="D1011" s="41">
        <f>HLOOKUP(A1011, $A$13:$X$33, 9, 0)</f>
        <v>0</v>
      </c>
      <c r="E1011" s="41">
        <f>HLOOKUP(A1011, $A$13:$X$33, 10, 0)</f>
        <v>0</v>
      </c>
      <c r="F1011" s="41">
        <f>HLOOKUP(A1011, $A$13:$X$33, 11, 0)</f>
        <v>1</v>
      </c>
      <c r="G1011" s="41">
        <f>HLOOKUP(A1011, $A$13:$X$33, 12, 0)</f>
        <v>0</v>
      </c>
      <c r="H1011" s="41">
        <f>HLOOKUP(A1011, $A$13:$X$33, 13, 0)</f>
        <v>1</v>
      </c>
      <c r="I1011" s="94">
        <f>HLOOKUP(A1011, $A$13:$X$33, 14, 0)</f>
        <v>3</v>
      </c>
    </row>
    <row r="1012" spans="1:9">
      <c r="A1012" s="95" t="str">
        <f>C36</f>
        <v>Alemi</v>
      </c>
      <c r="B1012" s="41">
        <f>HLOOKUP(A1012, $A$36:$T$56, 7, 0)</f>
        <v>0</v>
      </c>
      <c r="C1012" s="41">
        <f>HLOOKUP(A1012, $A$36:$T$56, 8, 0)</f>
        <v>0</v>
      </c>
      <c r="D1012" s="41">
        <f>HLOOKUP(A1012, $A$36:$T$56, 9, 0)</f>
        <v>0</v>
      </c>
      <c r="E1012" s="41">
        <f>HLOOKUP(A1012, $A$36:$T$56, 10, 0)</f>
        <v>3</v>
      </c>
      <c r="F1012" s="41">
        <f>HLOOKUP(A1012, $A$36:$T$56, 11, 0)</f>
        <v>4</v>
      </c>
      <c r="G1012" s="41">
        <f>HLOOKUP(A1012, $A$36:$T$56, 12, 0)</f>
        <v>0</v>
      </c>
      <c r="H1012" s="41">
        <f>HLOOKUP(A1012, $A$36:$T$56, 13, 0)</f>
        <v>0</v>
      </c>
      <c r="I1012" s="96">
        <f t="shared" ref="I1012:I1016" si="10">HLOOKUP(A1012, $A$36:$T$56, 14, 0)</f>
        <v>8.5</v>
      </c>
    </row>
    <row r="1013" spans="1:9">
      <c r="A1013" s="50" t="str">
        <f>G36</f>
        <v>Filip</v>
      </c>
      <c r="B1013" s="41">
        <f t="shared" ref="B1013:B1014" si="11">HLOOKUP(A1014, $A$36:$T$56, 7, 0)</f>
        <v>0</v>
      </c>
      <c r="C1013" s="41">
        <f t="shared" ref="C1013:C1014" si="12">HLOOKUP(A1014, $A$36:$T$56, 8, 0)</f>
        <v>0</v>
      </c>
      <c r="D1013" s="41">
        <f t="shared" ref="D1013:D1014" si="13">HLOOKUP(A1014, $A$36:$T$56, 9, 0)</f>
        <v>1</v>
      </c>
      <c r="E1013" s="41">
        <f t="shared" ref="E1013:E1014" si="14">HLOOKUP(A1014, $A$36:$T$56, 10, 0)</f>
        <v>0</v>
      </c>
      <c r="F1013" s="41">
        <f t="shared" ref="F1013:F1014" si="15">HLOOKUP(A1014, $A$36:$T$56, 11, 0)</f>
        <v>3</v>
      </c>
      <c r="G1013" s="41">
        <f t="shared" ref="G1013:G1014" si="16">HLOOKUP(A1014, $A$36:$T$56, 12, 0)</f>
        <v>2</v>
      </c>
      <c r="H1013" s="41">
        <f t="shared" ref="H1013:H1014" si="17">HLOOKUP(A1014, $A$36:$T$56, 13, 0)</f>
        <v>1</v>
      </c>
      <c r="I1013" s="96">
        <f t="shared" si="10"/>
        <v>3</v>
      </c>
    </row>
    <row r="1014" spans="1:9">
      <c r="A1014" s="97" t="str">
        <f>K36</f>
        <v>Dudu</v>
      </c>
      <c r="B1014" s="41">
        <f t="shared" si="11"/>
        <v>0</v>
      </c>
      <c r="C1014" s="41">
        <f t="shared" si="12"/>
        <v>0</v>
      </c>
      <c r="D1014" s="41">
        <f t="shared" si="13"/>
        <v>0</v>
      </c>
      <c r="E1014" s="41">
        <f t="shared" si="14"/>
        <v>0</v>
      </c>
      <c r="F1014" s="41">
        <f t="shared" si="15"/>
        <v>0</v>
      </c>
      <c r="G1014" s="41">
        <f t="shared" si="16"/>
        <v>0</v>
      </c>
      <c r="H1014" s="41">
        <f t="shared" si="17"/>
        <v>0</v>
      </c>
      <c r="I1014" s="96">
        <f t="shared" si="10"/>
        <v>14.5</v>
      </c>
    </row>
    <row r="1015" spans="1:9">
      <c r="A1015" s="97" t="str">
        <f>O36</f>
        <v>Belal</v>
      </c>
      <c r="B1015" s="41">
        <f t="shared" ref="B1015:B1016" si="18">HLOOKUP(A1015, $A$36:$T$56, 7, 0)</f>
        <v>0</v>
      </c>
      <c r="C1015" s="41">
        <f t="shared" ref="C1015:C1016" si="19">HLOOKUP(A1015, $A$36:$T$56, 8, 0)</f>
        <v>0</v>
      </c>
      <c r="D1015" s="41">
        <f t="shared" ref="D1015:D1016" si="20">HLOOKUP(A1015, $A$36:$T$56, 9, 0)</f>
        <v>0</v>
      </c>
      <c r="E1015" s="41">
        <f t="shared" ref="E1015:E1016" si="21">HLOOKUP(A1015, $A$36:$T$56, 10, 0)</f>
        <v>0</v>
      </c>
      <c r="F1015" s="41">
        <f t="shared" ref="F1015:F1016" si="22">HLOOKUP(A1015, $A$36:$T$56, 11, 0)</f>
        <v>0</v>
      </c>
      <c r="G1015" s="41">
        <f t="shared" ref="G1015:G1016" si="23">HLOOKUP(A1015, $A$36:$T$56, 12, 0)</f>
        <v>0</v>
      </c>
      <c r="H1015" s="41">
        <f t="shared" ref="H1015:H1016" si="24">HLOOKUP(A1015, $A$36:$T$56, 13, 0)</f>
        <v>0</v>
      </c>
      <c r="I1015" s="96">
        <f t="shared" si="10"/>
        <v>0</v>
      </c>
    </row>
    <row r="1016" spans="1:9">
      <c r="A1016" s="50" t="str">
        <f>S36</f>
        <v>Shady</v>
      </c>
      <c r="B1016" s="41">
        <f t="shared" si="18"/>
        <v>0</v>
      </c>
      <c r="C1016" s="41">
        <f t="shared" si="19"/>
        <v>0</v>
      </c>
      <c r="D1016" s="41">
        <f t="shared" si="20"/>
        <v>1</v>
      </c>
      <c r="E1016" s="41">
        <f t="shared" si="21"/>
        <v>0</v>
      </c>
      <c r="F1016" s="41">
        <f t="shared" si="22"/>
        <v>7</v>
      </c>
      <c r="G1016" s="41">
        <f t="shared" si="23"/>
        <v>1</v>
      </c>
      <c r="H1016" s="41">
        <f t="shared" si="24"/>
        <v>3</v>
      </c>
      <c r="I1016" s="96">
        <f t="shared" si="10"/>
        <v>18.5</v>
      </c>
    </row>
    <row r="1017" spans="1:9">
      <c r="A1017" s="50" t="str">
        <f>W36</f>
        <v>SalgaG</v>
      </c>
      <c r="B1017" s="41">
        <f>HLOOKUP(A1017, $A$36:$X$56, 7, 0)</f>
        <v>0</v>
      </c>
      <c r="C1017" s="41">
        <f>HLOOKUP(A1017, $A$36:$X$56, 8, 0)</f>
        <v>0</v>
      </c>
      <c r="D1017" s="41">
        <f>HLOOKUP(A1017, $A$36:$X$56, 9, 0)</f>
        <v>0</v>
      </c>
      <c r="E1017" s="41">
        <f>HLOOKUP(A1017, $A$36:$X$56, 10, 0)</f>
        <v>0</v>
      </c>
      <c r="F1017" s="41">
        <f>HLOOKUP(A1017, $A$36:$X$56, 11, 0)</f>
        <v>1</v>
      </c>
      <c r="G1017" s="41">
        <f>HLOOKUP(A1017, $A$36:$X$56, 12, 0)</f>
        <v>0</v>
      </c>
      <c r="H1017" s="41">
        <f>HLOOKUP(A1017, $A$36:$X$56, 13, 0)</f>
        <v>0</v>
      </c>
      <c r="I1017" s="96">
        <f>HLOOKUP(A1017, $A$36:$X$56, 14, 0)</f>
        <v>1</v>
      </c>
    </row>
    <row r="1018" spans="1:9">
      <c r="A1018" s="97" t="str">
        <f>C59</f>
        <v>Arqueiro</v>
      </c>
      <c r="B1018" s="41">
        <f t="shared" ref="B1018:B1022" si="25">HLOOKUP(A1018, $A$59:$T$79, 7, 0)</f>
        <v>0</v>
      </c>
      <c r="C1018" s="41">
        <f t="shared" ref="C1018:C1022" si="26">HLOOKUP(A1018, $A$59:$T$79, 8, 0)</f>
        <v>0</v>
      </c>
      <c r="D1018" s="41">
        <f t="shared" ref="D1018:D1022" si="27">HLOOKUP(A1018, $A$59:$T$79, 9, 0)</f>
        <v>0</v>
      </c>
      <c r="E1018" s="41">
        <f t="shared" ref="E1018:E1022" si="28">HLOOKUP(A1018, $A$59:$T$79, 10, 0)</f>
        <v>11</v>
      </c>
      <c r="F1018" s="41">
        <f t="shared" ref="F1018:F1022" si="29">HLOOKUP(A1018, $A$59:$T$79, 11, 0)</f>
        <v>1</v>
      </c>
      <c r="G1018" s="41">
        <f t="shared" ref="G1018:G1022" si="30">HLOOKUP(A1018, $A$59:$T$79, 12, 0)</f>
        <v>1</v>
      </c>
      <c r="H1018" s="41">
        <f t="shared" ref="H1018:H1022" si="31">HLOOKUP(A1018, $A$59:$T$79, 13, 0)</f>
        <v>3</v>
      </c>
      <c r="I1018" s="94">
        <f t="shared" ref="I1018:I1022" si="32">HLOOKUP(A1018, $A$59:$T$79, 14, 0)</f>
        <v>27.5</v>
      </c>
    </row>
    <row r="1019" spans="1:9">
      <c r="A1019" s="95" t="str">
        <f>G59</f>
        <v>N/A</v>
      </c>
      <c r="B1019" s="41">
        <f t="shared" si="25"/>
        <v>0</v>
      </c>
      <c r="C1019" s="41">
        <f t="shared" si="26"/>
        <v>0</v>
      </c>
      <c r="D1019" s="41">
        <f t="shared" si="27"/>
        <v>0</v>
      </c>
      <c r="E1019" s="41">
        <f t="shared" si="28"/>
        <v>0</v>
      </c>
      <c r="F1019" s="41">
        <f t="shared" si="29"/>
        <v>0</v>
      </c>
      <c r="G1019" s="41">
        <f t="shared" si="30"/>
        <v>0</v>
      </c>
      <c r="H1019" s="41">
        <f t="shared" si="31"/>
        <v>0</v>
      </c>
      <c r="I1019" s="94">
        <f t="shared" si="32"/>
        <v>0</v>
      </c>
    </row>
    <row r="1020" spans="1:9">
      <c r="A1020" s="95" t="str">
        <f>K59</f>
        <v>Harlem</v>
      </c>
      <c r="B1020" s="41">
        <f t="shared" si="25"/>
        <v>0</v>
      </c>
      <c r="C1020" s="41">
        <f t="shared" si="26"/>
        <v>0</v>
      </c>
      <c r="D1020" s="41">
        <f t="shared" si="27"/>
        <v>0</v>
      </c>
      <c r="E1020" s="41">
        <f t="shared" si="28"/>
        <v>0</v>
      </c>
      <c r="F1020" s="41">
        <f t="shared" si="29"/>
        <v>1</v>
      </c>
      <c r="G1020" s="41">
        <f t="shared" si="30"/>
        <v>0</v>
      </c>
      <c r="H1020" s="41">
        <f t="shared" si="31"/>
        <v>0</v>
      </c>
      <c r="I1020" s="94">
        <f t="shared" si="32"/>
        <v>1</v>
      </c>
    </row>
    <row r="1021" spans="1:9">
      <c r="A1021" s="95" t="str">
        <f>O59</f>
        <v>Rexolen</v>
      </c>
      <c r="B1021" s="41">
        <f t="shared" si="25"/>
        <v>0</v>
      </c>
      <c r="C1021" s="41">
        <f t="shared" si="26"/>
        <v>0</v>
      </c>
      <c r="D1021" s="41">
        <f t="shared" si="27"/>
        <v>0</v>
      </c>
      <c r="E1021" s="41">
        <f t="shared" si="28"/>
        <v>0</v>
      </c>
      <c r="F1021" s="41">
        <f t="shared" si="29"/>
        <v>0</v>
      </c>
      <c r="G1021" s="41">
        <f t="shared" si="30"/>
        <v>0</v>
      </c>
      <c r="H1021" s="41">
        <f t="shared" si="31"/>
        <v>0</v>
      </c>
      <c r="I1021" s="94">
        <f t="shared" si="32"/>
        <v>0</v>
      </c>
    </row>
    <row r="1022" spans="1:9">
      <c r="A1022" s="97" t="str">
        <f>S59</f>
        <v>Hamasa</v>
      </c>
      <c r="B1022" s="41">
        <f t="shared" si="25"/>
        <v>0</v>
      </c>
      <c r="C1022" s="41">
        <f t="shared" si="26"/>
        <v>0</v>
      </c>
      <c r="D1022" s="41">
        <f t="shared" si="27"/>
        <v>1</v>
      </c>
      <c r="E1022" s="41">
        <f t="shared" si="28"/>
        <v>0</v>
      </c>
      <c r="F1022" s="41">
        <f t="shared" si="29"/>
        <v>10</v>
      </c>
      <c r="G1022" s="41">
        <f t="shared" si="30"/>
        <v>1</v>
      </c>
      <c r="H1022" s="41">
        <f t="shared" si="31"/>
        <v>5</v>
      </c>
      <c r="I1022" s="94">
        <f t="shared" si="32"/>
        <v>25.5</v>
      </c>
    </row>
    <row r="1023" spans="1:9">
      <c r="A1023" s="50" t="str">
        <f>W59</f>
        <v>Eric</v>
      </c>
      <c r="B1023" s="41">
        <f>HLOOKUP(A1023, $A$59:$X$79, 7, 0)</f>
        <v>0</v>
      </c>
      <c r="C1023" s="41">
        <f>HLOOKUP(A1023, $A$59:$X$79, 8, 0)</f>
        <v>0</v>
      </c>
      <c r="D1023" s="41">
        <f>HLOOKUP(A1023, $A$59:$X$79, 9, 0)</f>
        <v>0</v>
      </c>
      <c r="E1023" s="41">
        <f>HLOOKUP(A1023, $A$59:$X$79, 10, 0)</f>
        <v>0</v>
      </c>
      <c r="F1023" s="41">
        <f>HLOOKUP(A1023, $A$59:$X$79, 11, 0)</f>
        <v>1</v>
      </c>
      <c r="G1023" s="41">
        <f>HLOOKUP(A1023, $A$59:$X$79, 12, 0)</f>
        <v>0</v>
      </c>
      <c r="H1023" s="41">
        <f>HLOOKUP(A1023, $A$59:$X$79, 13, 0)</f>
        <v>0</v>
      </c>
      <c r="I1023" s="94">
        <f>HLOOKUP(A1023, $A$59:$X$79, 14, 0)</f>
        <v>1</v>
      </c>
    </row>
    <row r="1024" spans="1:9">
      <c r="A1024" s="95" t="str">
        <f>C82</f>
        <v>Jesmonde</v>
      </c>
      <c r="B1024" s="2">
        <f t="shared" ref="B1024:B1028" si="33">HLOOKUP(A1024, $A$82:$T$102, 7, 0)</f>
        <v>0</v>
      </c>
      <c r="C1024" s="2">
        <f t="shared" ref="C1024:C1028" si="34">HLOOKUP(A1024, $A$82:$T$102, 8, 0)</f>
        <v>0</v>
      </c>
      <c r="D1024" s="2">
        <f t="shared" ref="D1024:D1028" si="35">HLOOKUP(A1024, $A$82:$T$102, 9, 0)</f>
        <v>0</v>
      </c>
      <c r="E1024" s="2">
        <f t="shared" ref="E1024:E1028" si="36">HLOOKUP(A1024, $A$82:$T$102, 10, 0)</f>
        <v>1</v>
      </c>
      <c r="F1024" s="2">
        <f t="shared" ref="F1024:F1028" si="37">HLOOKUP(A1024, $A$82:$T$102, 11, 0)</f>
        <v>2</v>
      </c>
      <c r="G1024" s="2">
        <f t="shared" ref="G1024:G1028" si="38">HLOOKUP(A1024, $A$82:$T$102, 12, 0)</f>
        <v>0</v>
      </c>
      <c r="H1024" s="2">
        <f t="shared" ref="H1024:H1028" si="39">HLOOKUP(A1024, $A$82:$T$102, 13, 0)</f>
        <v>3</v>
      </c>
      <c r="I1024" s="96">
        <f t="shared" ref="I1024:I1028" si="40">HLOOKUP(A1024, $A$82:$T$102, 14, 0)</f>
        <v>9.5</v>
      </c>
    </row>
    <row r="1025" spans="1:9">
      <c r="A1025" s="95" t="str">
        <f>G82</f>
        <v>N/A</v>
      </c>
      <c r="B1025" s="2">
        <f t="shared" si="33"/>
        <v>0</v>
      </c>
      <c r="C1025" s="2">
        <f t="shared" si="34"/>
        <v>0</v>
      </c>
      <c r="D1025" s="2">
        <f t="shared" si="35"/>
        <v>0</v>
      </c>
      <c r="E1025" s="2">
        <f t="shared" si="36"/>
        <v>0</v>
      </c>
      <c r="F1025" s="2">
        <f t="shared" si="37"/>
        <v>0</v>
      </c>
      <c r="G1025" s="2">
        <f t="shared" si="38"/>
        <v>0</v>
      </c>
      <c r="H1025" s="2">
        <f t="shared" si="39"/>
        <v>0</v>
      </c>
      <c r="I1025" s="96">
        <f t="shared" si="40"/>
        <v>0</v>
      </c>
    </row>
    <row r="1026" spans="1:9">
      <c r="A1026" s="95" t="str">
        <f>K82</f>
        <v>N/A</v>
      </c>
      <c r="B1026" s="2">
        <f t="shared" si="33"/>
        <v>0</v>
      </c>
      <c r="C1026" s="2">
        <f t="shared" si="34"/>
        <v>0</v>
      </c>
      <c r="D1026" s="2">
        <f t="shared" si="35"/>
        <v>0</v>
      </c>
      <c r="E1026" s="2">
        <f t="shared" si="36"/>
        <v>0</v>
      </c>
      <c r="F1026" s="2">
        <f t="shared" si="37"/>
        <v>0</v>
      </c>
      <c r="G1026" s="2">
        <f t="shared" si="38"/>
        <v>0</v>
      </c>
      <c r="H1026" s="2">
        <f t="shared" si="39"/>
        <v>0</v>
      </c>
      <c r="I1026" s="96">
        <f t="shared" si="40"/>
        <v>0</v>
      </c>
    </row>
    <row r="1027" spans="1:9">
      <c r="A1027" s="95" t="str">
        <f>O82</f>
        <v>Schreiber</v>
      </c>
      <c r="B1027" s="2">
        <f t="shared" si="33"/>
        <v>0</v>
      </c>
      <c r="C1027" s="2">
        <f t="shared" si="34"/>
        <v>0</v>
      </c>
      <c r="D1027" s="2">
        <f t="shared" si="35"/>
        <v>0</v>
      </c>
      <c r="E1027" s="2">
        <f t="shared" si="36"/>
        <v>0</v>
      </c>
      <c r="F1027" s="2">
        <f t="shared" si="37"/>
        <v>0</v>
      </c>
      <c r="G1027" s="2">
        <f t="shared" si="38"/>
        <v>0</v>
      </c>
      <c r="H1027" s="2">
        <f t="shared" si="39"/>
        <v>1</v>
      </c>
      <c r="I1027" s="96">
        <f t="shared" si="40"/>
        <v>2</v>
      </c>
    </row>
    <row r="1028" spans="1:9">
      <c r="A1028" s="95" t="str">
        <f>S82</f>
        <v>Stora</v>
      </c>
      <c r="B1028" s="2">
        <f t="shared" si="33"/>
        <v>0</v>
      </c>
      <c r="C1028" s="2">
        <f t="shared" si="34"/>
        <v>0</v>
      </c>
      <c r="D1028" s="2">
        <f t="shared" si="35"/>
        <v>1</v>
      </c>
      <c r="E1028" s="2">
        <f t="shared" si="36"/>
        <v>0</v>
      </c>
      <c r="F1028" s="2">
        <f t="shared" si="37"/>
        <v>5</v>
      </c>
      <c r="G1028" s="2">
        <f t="shared" si="38"/>
        <v>0</v>
      </c>
      <c r="H1028" s="2">
        <f t="shared" si="39"/>
        <v>3</v>
      </c>
      <c r="I1028" s="96">
        <f t="shared" si="40"/>
        <v>12.5</v>
      </c>
    </row>
    <row r="1029" spans="1:9">
      <c r="A1029" s="95" t="str">
        <f>W82</f>
        <v>N/A</v>
      </c>
      <c r="B1029" s="2">
        <f>HLOOKUP(A1029, $A$82:$X$102, 7, 0)</f>
        <v>0</v>
      </c>
      <c r="C1029" s="2">
        <f>HLOOKUP(A1029, $A$82:$X$102, 8, 0)</f>
        <v>0</v>
      </c>
      <c r="D1029" s="2">
        <f>HLOOKUP(A1029, $A$82:$X$102, 9, 0)</f>
        <v>0</v>
      </c>
      <c r="E1029" s="2">
        <f>HLOOKUP(A1029, $A$82:$X$102, 10, 0)</f>
        <v>0</v>
      </c>
      <c r="F1029" s="2">
        <f>HLOOKUP(A1029, $A$82:$X$102, 11, 0)</f>
        <v>0</v>
      </c>
      <c r="G1029" s="2">
        <f>HLOOKUP(A1029, $A$82:$X$102, 12, 0)</f>
        <v>0</v>
      </c>
      <c r="H1029" s="2">
        <f>HLOOKUP(A1029, $A$82:$X$102, 13, 0)</f>
        <v>0</v>
      </c>
      <c r="I1029" s="96">
        <f>HLOOKUP(A1029, $A$82:$X$102, 14, 0)</f>
        <v>0</v>
      </c>
    </row>
    <row r="1030" spans="1:9">
      <c r="A1030" s="95"/>
      <c r="B1030" s="2"/>
      <c r="C1030" s="2"/>
      <c r="D1030" s="2"/>
      <c r="E1030" s="2"/>
      <c r="F1030" s="2"/>
      <c r="G1030" s="2"/>
      <c r="H1030" s="2"/>
      <c r="I1030" s="96"/>
    </row>
    <row r="1031" spans="1:9">
      <c r="A1031" s="95"/>
      <c r="B1031" s="2"/>
      <c r="C1031" s="2"/>
      <c r="D1031" s="2"/>
      <c r="E1031" s="2"/>
      <c r="F1031" s="2"/>
      <c r="G1031" s="2"/>
      <c r="H1031" s="2"/>
      <c r="I1031" s="96"/>
    </row>
    <row r="1032" spans="1:9">
      <c r="A1032" s="95"/>
      <c r="B1032" s="2"/>
      <c r="C1032" s="2"/>
      <c r="D1032" s="2"/>
      <c r="E1032" s="2"/>
      <c r="F1032" s="2"/>
      <c r="G1032" s="2"/>
      <c r="H1032" s="2"/>
      <c r="I1032" s="96"/>
    </row>
    <row r="1033" spans="1:9">
      <c r="A1033" s="95"/>
      <c r="B1033" s="2"/>
      <c r="C1033" s="2"/>
      <c r="D1033" s="2"/>
      <c r="E1033" s="2"/>
      <c r="F1033" s="2"/>
      <c r="G1033" s="2"/>
      <c r="H1033" s="2"/>
      <c r="I1033" s="96"/>
    </row>
    <row r="1034" spans="1:9">
      <c r="A1034" s="95"/>
      <c r="B1034" s="2"/>
      <c r="C1034" s="2"/>
      <c r="D1034" s="2"/>
      <c r="E1034" s="2"/>
      <c r="F1034" s="2"/>
      <c r="G1034" s="2"/>
      <c r="H1034" s="2"/>
      <c r="I1034" s="96"/>
    </row>
    <row r="1035" spans="1:9">
      <c r="A1035" s="95"/>
      <c r="B1035" s="2"/>
      <c r="C1035" s="2"/>
      <c r="D1035" s="2"/>
      <c r="E1035" s="2"/>
      <c r="F1035" s="2"/>
      <c r="G1035" s="2"/>
      <c r="H1035" s="2"/>
      <c r="I1035" s="96"/>
    </row>
    <row r="1036" spans="1:9">
      <c r="A1036" s="95"/>
      <c r="B1036" s="2"/>
      <c r="C1036" s="2"/>
      <c r="D1036" s="2"/>
      <c r="E1036" s="2"/>
      <c r="F1036" s="2"/>
      <c r="G1036" s="2"/>
      <c r="H1036" s="2"/>
      <c r="I1036" s="96"/>
    </row>
    <row r="1037" spans="1:9">
      <c r="A1037" s="95"/>
      <c r="B1037" s="2"/>
      <c r="C1037" s="2"/>
      <c r="D1037" s="2"/>
      <c r="E1037" s="2"/>
      <c r="F1037" s="2"/>
      <c r="G1037" s="2"/>
      <c r="H1037" s="2"/>
      <c r="I1037" s="96"/>
    </row>
    <row r="1038" spans="1:9">
      <c r="A1038" s="95"/>
      <c r="B1038" s="2"/>
      <c r="C1038" s="2"/>
      <c r="D1038" s="2"/>
      <c r="E1038" s="2"/>
      <c r="F1038" s="2"/>
      <c r="G1038" s="2"/>
      <c r="H1038" s="2"/>
      <c r="I1038" s="96"/>
    </row>
    <row r="1039" spans="1:9">
      <c r="A1039" s="95"/>
      <c r="B1039" s="2"/>
      <c r="C1039" s="2"/>
      <c r="D1039" s="2"/>
      <c r="E1039" s="2"/>
      <c r="F1039" s="2"/>
      <c r="G1039" s="2"/>
      <c r="H1039" s="2"/>
      <c r="I1039" s="96"/>
    </row>
    <row r="1040" spans="1:9">
      <c r="A1040" s="95"/>
      <c r="B1040" s="2"/>
      <c r="C1040" s="2"/>
      <c r="D1040" s="2"/>
      <c r="E1040" s="2"/>
      <c r="F1040" s="2"/>
      <c r="G1040" s="2"/>
      <c r="H1040" s="2"/>
      <c r="I1040" s="96"/>
    </row>
    <row r="1041" spans="1:9">
      <c r="A1041" s="95"/>
      <c r="B1041" s="2"/>
      <c r="C1041" s="2"/>
      <c r="D1041" s="2"/>
      <c r="E1041" s="2"/>
      <c r="F1041" s="2"/>
      <c r="G1041" s="2"/>
      <c r="H1041" s="2"/>
      <c r="I1041" s="96"/>
    </row>
    <row r="1042" spans="1:9">
      <c r="A1042" s="95"/>
      <c r="B1042" s="2"/>
      <c r="C1042" s="2"/>
      <c r="D1042" s="2"/>
      <c r="E1042" s="2"/>
      <c r="F1042" s="2"/>
      <c r="G1042" s="2"/>
      <c r="H1042" s="2"/>
      <c r="I1042" s="96"/>
    </row>
  </sheetData>
  <mergeCells count="12">
    <mergeCell ref="U2:X2"/>
    <mergeCell ref="A1:D1"/>
    <mergeCell ref="M2:P2"/>
    <mergeCell ref="E2:H2"/>
    <mergeCell ref="I2:L2"/>
    <mergeCell ref="Q2:T2"/>
    <mergeCell ref="A2:D2"/>
    <mergeCell ref="Q1:T1"/>
    <mergeCell ref="U1:X1"/>
    <mergeCell ref="I1:L1"/>
    <mergeCell ref="E1:H1"/>
    <mergeCell ref="M1:P1"/>
  </mergeCells>
  <conditionalFormatting sqref="M985">
    <cfRule type="notContainsBlanks" dxfId="2" priority="1">
      <formula>LEN(TRIM(M985))&gt;0</formula>
    </cfRule>
  </conditionalFormatting>
  <conditionalFormatting sqref="U976:U995">
    <cfRule type="cellIs" dxfId="1" priority="2" operator="equal">
      <formula>"Positive"</formula>
    </cfRule>
  </conditionalFormatting>
  <conditionalFormatting sqref="U976:U995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2018-11-16T14:17:54Z</dcterms:created>
  <dcterms:modified xsi:type="dcterms:W3CDTF">2018-11-16T14:17:54Z</dcterms:modified>
</cp:coreProperties>
</file>