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t/src/emit-ghg/plume_tracking/data/"/>
    </mc:Choice>
  </mc:AlternateContent>
  <xr:revisionPtr revIDLastSave="0" documentId="8_{F1BC070D-74B5-434E-BFE2-A7D893EA1186}" xr6:coauthVersionLast="47" xr6:coauthVersionMax="47" xr10:uidLastSave="{00000000-0000-0000-0000-000000000000}"/>
  <bookViews>
    <workbookView xWindow="-6620" yWindow="-24200" windowWidth="32460" windowHeight="21320" activeTab="3" xr2:uid="{C21FC676-266F-E240-8D75-37ACC74824EF}"/>
  </bookViews>
  <sheets>
    <sheet name="Introduction" sheetId="3" r:id="rId1"/>
    <sheet name="Results for Arizona Jan 2025" sheetId="6" r:id="rId2"/>
    <sheet name="Data inputs" sheetId="5" r:id="rId3"/>
    <sheet name="Briggs plume ris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6" l="1"/>
  <c r="D33" i="5"/>
  <c r="D25" i="5"/>
  <c r="D13" i="5"/>
  <c r="D20" i="5" l="1"/>
  <c r="D11" i="5"/>
  <c r="D34" i="5" s="1"/>
  <c r="D9" i="5"/>
  <c r="D31" i="5"/>
  <c r="D30" i="5"/>
  <c r="L11" i="1" s="1"/>
  <c r="D29" i="5"/>
  <c r="D19" i="5"/>
  <c r="D21" i="5" s="1"/>
  <c r="L18" i="1"/>
  <c r="D22" i="5" l="1"/>
  <c r="D35" i="5"/>
  <c r="D32" i="5"/>
  <c r="L12" i="1"/>
  <c r="L19" i="1" l="1"/>
  <c r="L9" i="1"/>
  <c r="L15" i="1" s="1"/>
  <c r="L23" i="1" s="1"/>
  <c r="L16" i="1" l="1"/>
  <c r="L22" i="1" s="1"/>
  <c r="L24" i="1" l="1"/>
  <c r="L26" i="1" s="1"/>
  <c r="B5" i="6" s="1"/>
</calcChain>
</file>

<file path=xl/sharedStrings.xml><?xml version="1.0" encoding="utf-8"?>
<sst xmlns="http://schemas.openxmlformats.org/spreadsheetml/2006/main" count="168" uniqueCount="127">
  <si>
    <t>m2</t>
  </si>
  <si>
    <t>m</t>
  </si>
  <si>
    <t>g</t>
  </si>
  <si>
    <t>C</t>
  </si>
  <si>
    <t>kg/hr</t>
  </si>
  <si>
    <t>g/s</t>
  </si>
  <si>
    <t>m/s</t>
  </si>
  <si>
    <t>g/m3</t>
  </si>
  <si>
    <t>m3/sec</t>
  </si>
  <si>
    <t>m/sec</t>
  </si>
  <si>
    <t>m/s2</t>
  </si>
  <si>
    <t>ds</t>
  </si>
  <si>
    <t>MW air</t>
  </si>
  <si>
    <t>MW NG</t>
  </si>
  <si>
    <t>MW ratio</t>
  </si>
  <si>
    <t>Density ratio</t>
  </si>
  <si>
    <t>hs</t>
  </si>
  <si>
    <t>u_s</t>
  </si>
  <si>
    <t>s (class e)</t>
  </si>
  <si>
    <t>K/m</t>
  </si>
  <si>
    <t>s (class f)</t>
  </si>
  <si>
    <t>Stack area</t>
  </si>
  <si>
    <t>Stack exit velocity</t>
  </si>
  <si>
    <t>Adam R. Brandt</t>
  </si>
  <si>
    <t>Stanford University</t>
  </si>
  <si>
    <t>Purpose:</t>
  </si>
  <si>
    <t>Our plumes will be bouyant because they are made up of methane (mostly) and will have a mean MW of ~18 g/mol, or about 2/3 of the density of air.</t>
  </si>
  <si>
    <t>Author:</t>
  </si>
  <si>
    <t>Sources:</t>
  </si>
  <si>
    <t>Gravitational constant</t>
  </si>
  <si>
    <t>Wind speed</t>
  </si>
  <si>
    <t>Stability parameter</t>
  </si>
  <si>
    <t>Stack height</t>
  </si>
  <si>
    <t>Stack diameter</t>
  </si>
  <si>
    <t>Notes</t>
  </si>
  <si>
    <t>Unit</t>
  </si>
  <si>
    <t>Value</t>
  </si>
  <si>
    <t>Symbol</t>
  </si>
  <si>
    <t>Term</t>
  </si>
  <si>
    <t>g/mol</t>
  </si>
  <si>
    <t>Inputs and constants</t>
  </si>
  <si>
    <t>MW_a</t>
  </si>
  <si>
    <t>MW_ng</t>
  </si>
  <si>
    <t>rho_ng</t>
  </si>
  <si>
    <t>Density of NG</t>
  </si>
  <si>
    <t>-</t>
  </si>
  <si>
    <t>K</t>
  </si>
  <si>
    <t>T_s</t>
  </si>
  <si>
    <t>T_s_abs</t>
  </si>
  <si>
    <t>T_amb</t>
  </si>
  <si>
    <t>T_amb_abs</t>
  </si>
  <si>
    <t>Temperature of gas</t>
  </si>
  <si>
    <t>Temperature of gas (abs)</t>
  </si>
  <si>
    <t xml:space="preserve">Ambient temperature </t>
  </si>
  <si>
    <t>Ambient temperature (abs)</t>
  </si>
  <si>
    <t>Accounts for both temperature and MW</t>
  </si>
  <si>
    <t>Vplume flow rate</t>
  </si>
  <si>
    <t>Density of air</t>
  </si>
  <si>
    <t>rho_air</t>
  </si>
  <si>
    <t>V_0</t>
  </si>
  <si>
    <t>F_0</t>
  </si>
  <si>
    <t>T_P/m_p0</t>
  </si>
  <si>
    <t>T_a/m_a0</t>
  </si>
  <si>
    <t>M_0</t>
  </si>
  <si>
    <t>&lt;&lt;&lt;&lt;</t>
  </si>
  <si>
    <t>Beta_F</t>
  </si>
  <si>
    <t>Beta_M</t>
  </si>
  <si>
    <t>z_term1</t>
  </si>
  <si>
    <t>z_term2</t>
  </si>
  <si>
    <t>z</t>
  </si>
  <si>
    <t>x for eval</t>
  </si>
  <si>
    <t>Method from textbook</t>
  </si>
  <si>
    <t>at x for evaluation above</t>
  </si>
  <si>
    <t>Computed parameters</t>
  </si>
  <si>
    <t>Recommended values from text</t>
  </si>
  <si>
    <t>Plume centerline height</t>
  </si>
  <si>
    <t>Handbook on Atmospheric Dispersion. Hanna, Briggs, and Hosker. 1982, US Department of Energy</t>
  </si>
  <si>
    <t>Department of Energy Science &amp; Engineering</t>
  </si>
  <si>
    <t>From figure in Eastwood et al. 2025, can be changed</t>
  </si>
  <si>
    <t>kg/m3</t>
  </si>
  <si>
    <t>From Meterological datafile for 1/26/2025</t>
  </si>
  <si>
    <t>Units</t>
  </si>
  <si>
    <t>Description</t>
  </si>
  <si>
    <t>Temperature modified by density</t>
  </si>
  <si>
    <t>Plume initial volume flux</t>
  </si>
  <si>
    <t>Initial buoyancy flux</t>
  </si>
  <si>
    <t>Initital momentum flux</t>
  </si>
  <si>
    <t>See eq. 2.3</t>
  </si>
  <si>
    <t>See eq. 2.4</t>
  </si>
  <si>
    <t>See eq. 2.2</t>
  </si>
  <si>
    <t>See modification recommended where bouyouncy arises from both temperature and lighter than air MW.</t>
  </si>
  <si>
    <t>Downwind evaluation point</t>
  </si>
  <si>
    <t>Measured in x (downwind direction)</t>
  </si>
  <si>
    <t>Assume stable conditions due to moderate temperature and insolation</t>
  </si>
  <si>
    <t>Pume center height at downwind distance</t>
  </si>
  <si>
    <t>z_tot</t>
  </si>
  <si>
    <t>Equation reduces to stack height at 0 m downwind</t>
  </si>
  <si>
    <t>Downwind distance from stack</t>
  </si>
  <si>
    <t>Plume calculations for gaussian plume rise due to exit velocity, temperature, and gas density</t>
  </si>
  <si>
    <t>Use Gaussian plume model with a rising plume center due to boyouancy and momentum</t>
  </si>
  <si>
    <t>Classical buoyant plume model with plume center rise from Briggs</t>
  </si>
  <si>
    <t xml:space="preserve">There are many plume rise models available. </t>
  </si>
  <si>
    <t>We will use the classical Briggs model. Outlined in "Handbook on Atmospheric Dispersion". Hanna, Briggs, and Hosker. 1982, US Department of Energy</t>
  </si>
  <si>
    <t>20 feet stack, assume stack base 30 inches above ground, see Volta design documents for the Stanford release rig.</t>
  </si>
  <si>
    <t>6 inch pipe, see Volta design documents for Stanford release rig</t>
  </si>
  <si>
    <t>Volta Fabrication design documents</t>
  </si>
  <si>
    <t>Natural gas composition data</t>
  </si>
  <si>
    <t>Source:</t>
  </si>
  <si>
    <t>Our natural gas provider gives us composition data</t>
  </si>
  <si>
    <t>Specific gravity</t>
  </si>
  <si>
    <t>N2</t>
  </si>
  <si>
    <t>CO2</t>
  </si>
  <si>
    <t>Methane</t>
  </si>
  <si>
    <t>Ethane</t>
  </si>
  <si>
    <t>Propane</t>
  </si>
  <si>
    <t>Iso-butane</t>
  </si>
  <si>
    <t>N-Butane</t>
  </si>
  <si>
    <t>Distance at which to evaluate plume height</t>
  </si>
  <si>
    <t>Whole gas mass flow flow rate</t>
  </si>
  <si>
    <t>Notes and source</t>
  </si>
  <si>
    <t>See gas composition data below from our gas provider</t>
  </si>
  <si>
    <t>Change on "Data Inputs" tab</t>
  </si>
  <si>
    <t>Results for case of January 26th 2025 for AVIRIS overpass</t>
  </si>
  <si>
    <t>Current downwind distance`</t>
  </si>
  <si>
    <t>Plume centerline height at downwind distance</t>
  </si>
  <si>
    <t>Stanford datafile has intial pressure before metering of 153 PSI or 1.054 MPa and intial temperature of 7.8 C.  J-T cooling coefficient is ~5.5 K/Mpa at these pressures and temperatures (https://doi.org/10.1016/j.cryogenics.2020.103169). So temperature after expansion should be ~2 C</t>
  </si>
  <si>
    <t>Updated April 8rd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</si>
</sst>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ptos Narrow"/>
      <family val="2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B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ill="1"/>
    <xf numFmtId="0" fontId="1" fillId="0" borderId="0" xfId="0" applyFont="1"/>
    <xf numFmtId="0" fontId="1" fillId="3" borderId="0" xfId="0" applyFont="1" applyFill="1"/>
    <xf numFmtId="165" fontId="1" fillId="3" borderId="0" xfId="0" applyNumberFormat="1" applyFont="1" applyFill="1"/>
    <xf numFmtId="0" fontId="0" fillId="3" borderId="0" xfId="0" applyFill="1"/>
    <xf numFmtId="14" fontId="2" fillId="0" borderId="0" xfId="0" applyNumberFormat="1" applyFont="1"/>
    <xf numFmtId="43" fontId="0" fillId="0" borderId="0" xfId="0" applyNumberFormat="1"/>
    <xf numFmtId="43" fontId="2" fillId="0" borderId="0" xfId="0" applyNumberFormat="1" applyFont="1"/>
    <xf numFmtId="0" fontId="3" fillId="4" borderId="0" xfId="0" applyFont="1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206505</xdr:colOff>
      <xdr:row>38</xdr:row>
      <xdr:rowOff>30977</xdr:rowOff>
    </xdr:from>
    <xdr:to>
      <xdr:col>9</xdr:col>
      <xdr:colOff>544759</xdr:colOff>
      <xdr:row>62</xdr:row>
      <xdr:rowOff>70724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284E7B-07C2-B58D-1B1D-DB979DE8E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505" y="7465123"/>
          <a:ext cx="7772400" cy="49958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123902</xdr:rowOff>
    </xdr:from>
    <xdr:to>
      <xdr:col>6</xdr:col>
      <xdr:colOff>618719</xdr:colOff>
      <xdr:row>38</xdr:row>
      <xdr:rowOff>160619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97D77DF-C210-6A47-AD06-78B9A7D42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69430"/>
          <a:ext cx="5574817" cy="6438343"/>
        </a:xfrm>
        <a:prstGeom prst="rect">
          <a:avLst/>
        </a:prstGeom>
      </xdr:spPr>
    </xdr:pic>
    <xdr:clientData/>
  </xdr:twoCellAnchor>
  <xdr:twoCellAnchor editAs="oneCell">
    <xdr:from>
      <xdr:col>0</xdr:col>
      <xdr:colOff>100052</xdr:colOff>
      <xdr:row>38</xdr:row>
      <xdr:rowOff>134949</xdr:rowOff>
    </xdr:from>
    <xdr:to>
      <xdr:col>6</xdr:col>
      <xdr:colOff>751204</xdr:colOff>
      <xdr:row>63</xdr:row>
      <xdr:rowOff>72275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49C484-21F6-A444-BB6D-BDAA8BC81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52" y="15622754"/>
          <a:ext cx="5607250" cy="50999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82599</xdr:rowOff>
    </xdr:from>
    <xdr:to>
      <xdr:col>6</xdr:col>
      <xdr:colOff>784715</xdr:colOff>
      <xdr:row>85</xdr:row>
      <xdr:rowOff>16986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C60E5A5-58EE-50A5-998E-236409F44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0526501"/>
          <a:ext cx="5740813" cy="4683981"/>
        </a:xfrm>
        <a:prstGeom prst="rect">
          <a:avLst/>
        </a:prstGeom>
      </xdr:spPr>
    </xdr:pic>
    <xdr:clientData/>
  </xdr:twoCellAnchor>
  <xdr:twoCellAnchor editAs="oneCell">
    <xdr:from>
      <xdr:col>0</xdr:col>
      <xdr:colOff>206505</xdr:colOff>
      <xdr:row>83</xdr:row>
      <xdr:rowOff>175528</xdr:rowOff>
    </xdr:from>
    <xdr:to>
      <xdr:col>7</xdr:col>
      <xdr:colOff>140559</xdr:colOff>
      <xdr:row>107</xdr:row>
      <xdr:rowOff>30976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4FCF6B9-8506-55F3-D515-C1C4508C5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6505" y="24956016"/>
          <a:ext cx="5716168" cy="4811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4DE3C-1BBE-7A4D-B120-A36451390168}">
  <dimension ref="A1:A17"/>
  <sheetViews>
    <sheetView workbookViewId="0">
      <selection activeCell="D19" sqref="D19"/>
    </sheetView>
  </sheetViews>
  <sheetFormatPr baseColWidth="10" defaultRowHeight="16" x14ac:dyDescent="0.2"/>
  <sheetData>
    <row r="1" spans="1:1" s="13" customFormat="1" ht="21" x14ac:dyDescent="0.25">
      <c r="A1" s="12" t="s">
        <v>98</v>
      </c>
    </row>
    <row r="2" spans="1:1" x14ac:dyDescent="0.2">
      <c r="A2" s="5" t="s">
        <v>126</v>
      </c>
    </row>
    <row r="4" spans="1:1" x14ac:dyDescent="0.2">
      <c r="A4" s="5" t="s">
        <v>27</v>
      </c>
    </row>
    <row r="5" spans="1:1" x14ac:dyDescent="0.2">
      <c r="A5" t="s">
        <v>23</v>
      </c>
    </row>
    <row r="6" spans="1:1" x14ac:dyDescent="0.2">
      <c r="A6" t="s">
        <v>77</v>
      </c>
    </row>
    <row r="7" spans="1:1" x14ac:dyDescent="0.2">
      <c r="A7" t="s">
        <v>24</v>
      </c>
    </row>
    <row r="10" spans="1:1" x14ac:dyDescent="0.2">
      <c r="A10" s="5" t="s">
        <v>25</v>
      </c>
    </row>
    <row r="11" spans="1:1" x14ac:dyDescent="0.2">
      <c r="A11" t="s">
        <v>99</v>
      </c>
    </row>
    <row r="12" spans="1:1" x14ac:dyDescent="0.2">
      <c r="A12" t="s">
        <v>26</v>
      </c>
    </row>
    <row r="16" spans="1:1" x14ac:dyDescent="0.2">
      <c r="A16" s="5" t="s">
        <v>28</v>
      </c>
    </row>
    <row r="17" spans="1:1" x14ac:dyDescent="0.2">
      <c r="A17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6C6D1-1F49-DA42-93D0-8A9F4616D382}">
  <dimension ref="A1:D20"/>
  <sheetViews>
    <sheetView workbookViewId="0">
      <selection activeCell="D16" sqref="D16"/>
    </sheetView>
  </sheetViews>
  <sheetFormatPr baseColWidth="10" defaultRowHeight="16" x14ac:dyDescent="0.2"/>
  <cols>
    <col min="1" max="1" width="29.5" customWidth="1"/>
    <col min="2" max="2" width="21.83203125" customWidth="1"/>
  </cols>
  <sheetData>
    <row r="1" spans="1:4" s="13" customFormat="1" ht="21" x14ac:dyDescent="0.25">
      <c r="A1" s="12" t="s">
        <v>122</v>
      </c>
    </row>
    <row r="4" spans="1:4" x14ac:dyDescent="0.2">
      <c r="A4" t="s">
        <v>123</v>
      </c>
      <c r="B4">
        <f>'Data inputs'!D23</f>
        <v>2000</v>
      </c>
      <c r="C4" t="s">
        <v>1</v>
      </c>
      <c r="D4" t="s">
        <v>121</v>
      </c>
    </row>
    <row r="5" spans="1:4" x14ac:dyDescent="0.2">
      <c r="A5" t="s">
        <v>124</v>
      </c>
      <c r="B5" s="2">
        <f>'Briggs plume rise'!L26</f>
        <v>41.770604717652915</v>
      </c>
      <c r="C5" t="s">
        <v>1</v>
      </c>
    </row>
    <row r="8" spans="1:4" x14ac:dyDescent="0.2">
      <c r="A8" t="s">
        <v>97</v>
      </c>
      <c r="B8" t="s">
        <v>75</v>
      </c>
    </row>
    <row r="9" spans="1:4" x14ac:dyDescent="0.2">
      <c r="A9">
        <v>0</v>
      </c>
      <c r="B9" s="2">
        <v>6.8597560975609762</v>
      </c>
      <c r="C9" t="s">
        <v>1</v>
      </c>
      <c r="D9" t="s">
        <v>96</v>
      </c>
    </row>
    <row r="10" spans="1:4" x14ac:dyDescent="0.2">
      <c r="A10">
        <v>1</v>
      </c>
      <c r="B10" s="2">
        <v>7.21</v>
      </c>
      <c r="C10" t="s">
        <v>1</v>
      </c>
    </row>
    <row r="11" spans="1:4" x14ac:dyDescent="0.2">
      <c r="A11">
        <v>2</v>
      </c>
      <c r="B11" s="2">
        <v>7.39</v>
      </c>
      <c r="C11" t="s">
        <v>1</v>
      </c>
    </row>
    <row r="12" spans="1:4" x14ac:dyDescent="0.2">
      <c r="A12">
        <v>5</v>
      </c>
      <c r="B12">
        <v>7.8</v>
      </c>
      <c r="C12" t="s">
        <v>1</v>
      </c>
    </row>
    <row r="13" spans="1:4" x14ac:dyDescent="0.2">
      <c r="A13">
        <v>10</v>
      </c>
      <c r="B13" s="2">
        <v>8.34</v>
      </c>
      <c r="C13" t="s">
        <v>1</v>
      </c>
    </row>
    <row r="14" spans="1:4" x14ac:dyDescent="0.2">
      <c r="A14">
        <v>25</v>
      </c>
      <c r="B14" s="2">
        <v>9.56</v>
      </c>
      <c r="C14" t="s">
        <v>1</v>
      </c>
    </row>
    <row r="15" spans="1:4" x14ac:dyDescent="0.2">
      <c r="A15">
        <v>50</v>
      </c>
      <c r="B15" s="2">
        <v>11.13</v>
      </c>
      <c r="C15" t="s">
        <v>1</v>
      </c>
    </row>
    <row r="16" spans="1:4" x14ac:dyDescent="0.2">
      <c r="A16">
        <v>100</v>
      </c>
      <c r="B16" s="2">
        <v>13.63</v>
      </c>
      <c r="C16" t="s">
        <v>1</v>
      </c>
    </row>
    <row r="17" spans="1:3" x14ac:dyDescent="0.2">
      <c r="A17">
        <v>250</v>
      </c>
      <c r="B17" s="2">
        <v>19.32</v>
      </c>
      <c r="C17" t="s">
        <v>1</v>
      </c>
    </row>
    <row r="18" spans="1:3" x14ac:dyDescent="0.2">
      <c r="A18">
        <v>500</v>
      </c>
      <c r="B18" s="2">
        <v>26.64</v>
      </c>
      <c r="C18" t="s">
        <v>1</v>
      </c>
    </row>
    <row r="19" spans="1:3" x14ac:dyDescent="0.2">
      <c r="A19">
        <v>1000</v>
      </c>
      <c r="B19" s="2">
        <v>38.25</v>
      </c>
      <c r="C19" t="s">
        <v>1</v>
      </c>
    </row>
    <row r="20" spans="1:3" x14ac:dyDescent="0.2">
      <c r="A20">
        <v>2000</v>
      </c>
      <c r="B20" s="2">
        <v>56.68</v>
      </c>
      <c r="C2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B197D-F0DA-D346-A9CD-7DB8B3E96281}">
  <dimension ref="A1:T146"/>
  <sheetViews>
    <sheetView zoomScale="123" zoomScaleNormal="123" workbookViewId="0">
      <selection activeCell="G7" sqref="G7"/>
    </sheetView>
  </sheetViews>
  <sheetFormatPr baseColWidth="10" defaultRowHeight="16" x14ac:dyDescent="0.2"/>
  <sheetData>
    <row r="1" spans="1:14" s="13" customFormat="1" ht="21" x14ac:dyDescent="0.25">
      <c r="A1" s="12" t="s">
        <v>100</v>
      </c>
    </row>
    <row r="2" spans="1:14" x14ac:dyDescent="0.2">
      <c r="A2" s="5"/>
    </row>
    <row r="3" spans="1:14" x14ac:dyDescent="0.2">
      <c r="A3" t="s">
        <v>101</v>
      </c>
    </row>
    <row r="4" spans="1:14" x14ac:dyDescent="0.2">
      <c r="A4" t="s">
        <v>102</v>
      </c>
    </row>
    <row r="6" spans="1:14" x14ac:dyDescent="0.2">
      <c r="A6" s="5" t="s">
        <v>40</v>
      </c>
    </row>
    <row r="8" spans="1:14" x14ac:dyDescent="0.2">
      <c r="A8" s="5" t="s">
        <v>38</v>
      </c>
      <c r="B8" s="5"/>
      <c r="C8" s="5" t="s">
        <v>37</v>
      </c>
      <c r="D8" s="5" t="s">
        <v>36</v>
      </c>
      <c r="E8" s="5" t="s">
        <v>35</v>
      </c>
      <c r="F8" s="5" t="s">
        <v>119</v>
      </c>
      <c r="G8" s="5"/>
      <c r="H8" s="5"/>
      <c r="I8" s="5"/>
      <c r="J8" s="5"/>
      <c r="K8" s="5"/>
      <c r="L8" s="5"/>
      <c r="M8" s="5"/>
      <c r="N8" s="5"/>
    </row>
    <row r="9" spans="1:14" x14ac:dyDescent="0.2">
      <c r="A9" t="s">
        <v>32</v>
      </c>
      <c r="C9" t="s">
        <v>16</v>
      </c>
      <c r="D9">
        <f>22.5/3.28</f>
        <v>6.8597560975609762</v>
      </c>
      <c r="E9" t="s">
        <v>1</v>
      </c>
      <c r="F9" t="s">
        <v>103</v>
      </c>
    </row>
    <row r="10" spans="1:14" x14ac:dyDescent="0.2">
      <c r="A10" t="s">
        <v>29</v>
      </c>
      <c r="C10" t="s">
        <v>2</v>
      </c>
      <c r="D10">
        <v>9.8000000000000007</v>
      </c>
      <c r="E10" t="s">
        <v>10</v>
      </c>
    </row>
    <row r="11" spans="1:14" x14ac:dyDescent="0.2">
      <c r="A11" t="s">
        <v>33</v>
      </c>
      <c r="C11" t="s">
        <v>11</v>
      </c>
      <c r="D11">
        <f>6*2.54/100</f>
        <v>0.15240000000000001</v>
      </c>
      <c r="E11" t="s">
        <v>1</v>
      </c>
      <c r="F11" t="s">
        <v>104</v>
      </c>
    </row>
    <row r="12" spans="1:14" x14ac:dyDescent="0.2">
      <c r="A12" t="s">
        <v>12</v>
      </c>
      <c r="C12" t="s">
        <v>41</v>
      </c>
      <c r="D12">
        <v>28.96</v>
      </c>
      <c r="E12" t="s">
        <v>39</v>
      </c>
    </row>
    <row r="13" spans="1:14" x14ac:dyDescent="0.2">
      <c r="A13" t="s">
        <v>13</v>
      </c>
      <c r="C13" t="s">
        <v>42</v>
      </c>
      <c r="D13" s="10">
        <f>D12*B68</f>
        <v>17.086400000000001</v>
      </c>
      <c r="E13" t="s">
        <v>39</v>
      </c>
      <c r="F13" t="s">
        <v>120</v>
      </c>
    </row>
    <row r="14" spans="1:14" x14ac:dyDescent="0.2">
      <c r="A14" t="s">
        <v>30</v>
      </c>
      <c r="C14" t="s">
        <v>17</v>
      </c>
      <c r="D14">
        <v>3</v>
      </c>
      <c r="E14" t="s">
        <v>6</v>
      </c>
      <c r="F14" t="s">
        <v>78</v>
      </c>
    </row>
    <row r="15" spans="1:14" x14ac:dyDescent="0.2">
      <c r="A15" t="s">
        <v>31</v>
      </c>
      <c r="C15" t="s">
        <v>18</v>
      </c>
      <c r="D15">
        <v>0.02</v>
      </c>
      <c r="E15" t="s">
        <v>19</v>
      </c>
      <c r="F15" t="s">
        <v>93</v>
      </c>
    </row>
    <row r="16" spans="1:14" x14ac:dyDescent="0.2">
      <c r="A16" t="s">
        <v>31</v>
      </c>
      <c r="C16" t="s">
        <v>20</v>
      </c>
      <c r="D16">
        <v>3.5000000000000003E-2</v>
      </c>
      <c r="E16" t="s">
        <v>19</v>
      </c>
      <c r="F16" t="s">
        <v>93</v>
      </c>
    </row>
    <row r="17" spans="1:6" x14ac:dyDescent="0.2">
      <c r="A17" t="s">
        <v>53</v>
      </c>
      <c r="C17" t="s">
        <v>49</v>
      </c>
      <c r="D17">
        <v>18.7</v>
      </c>
      <c r="E17" t="s">
        <v>3</v>
      </c>
      <c r="F17" t="s">
        <v>80</v>
      </c>
    </row>
    <row r="18" spans="1:6" x14ac:dyDescent="0.2">
      <c r="A18" t="s">
        <v>51</v>
      </c>
      <c r="C18" t="s">
        <v>47</v>
      </c>
      <c r="D18">
        <v>2</v>
      </c>
      <c r="E18" t="s">
        <v>3</v>
      </c>
      <c r="F18" t="s">
        <v>125</v>
      </c>
    </row>
    <row r="19" spans="1:6" x14ac:dyDescent="0.2">
      <c r="A19" t="s">
        <v>57</v>
      </c>
      <c r="C19" t="s">
        <v>58</v>
      </c>
      <c r="D19" s="3">
        <f>44.64*D12</f>
        <v>1292.7744</v>
      </c>
      <c r="E19" t="s">
        <v>7</v>
      </c>
    </row>
    <row r="20" spans="1:6" x14ac:dyDescent="0.2">
      <c r="A20" t="s">
        <v>44</v>
      </c>
      <c r="C20" t="s">
        <v>43</v>
      </c>
      <c r="D20" s="3">
        <f>44.64*D13</f>
        <v>762.73689600000012</v>
      </c>
      <c r="E20" t="s">
        <v>7</v>
      </c>
    </row>
    <row r="21" spans="1:6" x14ac:dyDescent="0.2">
      <c r="A21" t="s">
        <v>57</v>
      </c>
      <c r="D21" s="3">
        <f>D19/1000</f>
        <v>1.2927744000000001</v>
      </c>
      <c r="E21" t="s">
        <v>79</v>
      </c>
    </row>
    <row r="22" spans="1:6" x14ac:dyDescent="0.2">
      <c r="A22" t="s">
        <v>44</v>
      </c>
      <c r="D22" s="3">
        <f>D20/1000</f>
        <v>0.76273689600000016</v>
      </c>
      <c r="E22" t="s">
        <v>79</v>
      </c>
    </row>
    <row r="23" spans="1:6" x14ac:dyDescent="0.2">
      <c r="A23" t="s">
        <v>117</v>
      </c>
      <c r="D23">
        <v>2000</v>
      </c>
      <c r="E23" t="s">
        <v>1</v>
      </c>
      <c r="F23" t="s">
        <v>92</v>
      </c>
    </row>
    <row r="24" spans="1:6" x14ac:dyDescent="0.2">
      <c r="A24" t="s">
        <v>118</v>
      </c>
      <c r="D24">
        <v>150</v>
      </c>
      <c r="E24" t="s">
        <v>4</v>
      </c>
    </row>
    <row r="25" spans="1:6" x14ac:dyDescent="0.2">
      <c r="A25" t="s">
        <v>118</v>
      </c>
      <c r="D25" s="3">
        <f>D24*1000/3600</f>
        <v>41.666666666666664</v>
      </c>
      <c r="E25" t="s">
        <v>5</v>
      </c>
    </row>
    <row r="28" spans="1:6" x14ac:dyDescent="0.2">
      <c r="A28" s="5" t="s">
        <v>73</v>
      </c>
    </row>
    <row r="29" spans="1:6" x14ac:dyDescent="0.2">
      <c r="A29" t="s">
        <v>14</v>
      </c>
      <c r="D29" s="2">
        <f>D13/D12</f>
        <v>0.59</v>
      </c>
      <c r="E29" t="s">
        <v>45</v>
      </c>
    </row>
    <row r="30" spans="1:6" x14ac:dyDescent="0.2">
      <c r="A30" t="s">
        <v>52</v>
      </c>
      <c r="C30" t="s">
        <v>48</v>
      </c>
      <c r="D30">
        <f>273+D18</f>
        <v>275</v>
      </c>
      <c r="E30" t="s">
        <v>46</v>
      </c>
    </row>
    <row r="31" spans="1:6" x14ac:dyDescent="0.2">
      <c r="A31" t="s">
        <v>54</v>
      </c>
      <c r="C31" t="s">
        <v>50</v>
      </c>
      <c r="D31">
        <f>273+D17</f>
        <v>291.7</v>
      </c>
      <c r="E31" t="s">
        <v>46</v>
      </c>
    </row>
    <row r="32" spans="1:6" x14ac:dyDescent="0.2">
      <c r="A32" t="s">
        <v>15</v>
      </c>
      <c r="D32" s="2">
        <f>D29*D31/D30</f>
        <v>0.62582909090909089</v>
      </c>
      <c r="E32" t="s">
        <v>45</v>
      </c>
      <c r="F32" t="s">
        <v>55</v>
      </c>
    </row>
    <row r="33" spans="1:14" x14ac:dyDescent="0.2">
      <c r="A33" t="s">
        <v>56</v>
      </c>
      <c r="D33" s="2">
        <f>'Data inputs'!D25/D20</f>
        <v>5.4627836787728513E-2</v>
      </c>
      <c r="E33" t="s">
        <v>8</v>
      </c>
    </row>
    <row r="34" spans="1:14" x14ac:dyDescent="0.2">
      <c r="A34" t="s">
        <v>21</v>
      </c>
      <c r="D34" s="1">
        <f>PI()*(D11/2)^2</f>
        <v>1.8241469247509919E-2</v>
      </c>
      <c r="E34" t="s">
        <v>0</v>
      </c>
    </row>
    <row r="35" spans="1:14" x14ac:dyDescent="0.2">
      <c r="A35" t="s">
        <v>22</v>
      </c>
      <c r="D35" s="3">
        <f>D33/D34</f>
        <v>2.9947059661976283</v>
      </c>
      <c r="E35" t="s">
        <v>9</v>
      </c>
    </row>
    <row r="38" spans="1:14" x14ac:dyDescent="0.2">
      <c r="A38" s="5" t="s">
        <v>105</v>
      </c>
    </row>
    <row r="42" spans="1:14" x14ac:dyDescent="0.2">
      <c r="N42" s="2"/>
    </row>
    <row r="43" spans="1:14" x14ac:dyDescent="0.2">
      <c r="N43" s="2"/>
    </row>
    <row r="44" spans="1:14" x14ac:dyDescent="0.2">
      <c r="N44" s="2"/>
    </row>
    <row r="45" spans="1:14" x14ac:dyDescent="0.2">
      <c r="N45" s="3"/>
    </row>
    <row r="64" spans="1:1" x14ac:dyDescent="0.2">
      <c r="A64" s="5" t="s">
        <v>106</v>
      </c>
    </row>
    <row r="65" spans="1:20" x14ac:dyDescent="0.2">
      <c r="A65" t="s">
        <v>107</v>
      </c>
      <c r="B65" t="s">
        <v>108</v>
      </c>
    </row>
    <row r="67" spans="1:20" x14ac:dyDescent="0.2">
      <c r="B67" t="s">
        <v>109</v>
      </c>
      <c r="C67" t="s">
        <v>110</v>
      </c>
      <c r="D67" t="s">
        <v>111</v>
      </c>
      <c r="E67" t="s">
        <v>112</v>
      </c>
      <c r="F67" t="s">
        <v>113</v>
      </c>
      <c r="G67" t="s">
        <v>114</v>
      </c>
      <c r="H67" t="s">
        <v>115</v>
      </c>
      <c r="I67" t="s">
        <v>116</v>
      </c>
    </row>
    <row r="68" spans="1:20" x14ac:dyDescent="0.2">
      <c r="A68" s="9">
        <v>45683</v>
      </c>
      <c r="B68" s="11">
        <v>0.59</v>
      </c>
      <c r="C68" s="11">
        <v>1.57</v>
      </c>
      <c r="D68" s="11">
        <v>0.12</v>
      </c>
      <c r="E68" s="11">
        <v>93</v>
      </c>
      <c r="F68" s="11">
        <v>5.1100000000000003</v>
      </c>
      <c r="G68" s="11">
        <v>0.18</v>
      </c>
      <c r="H68" s="11">
        <v>0</v>
      </c>
      <c r="I68" s="11">
        <v>0.01</v>
      </c>
      <c r="J68" s="11"/>
      <c r="M68" s="11"/>
      <c r="N68" s="11"/>
      <c r="O68" s="11"/>
      <c r="P68" s="11"/>
      <c r="Q68" s="11"/>
      <c r="R68" s="11"/>
      <c r="S68" s="11"/>
      <c r="T68" s="11"/>
    </row>
    <row r="76" spans="1:20" x14ac:dyDescent="0.2">
      <c r="L76" s="2"/>
    </row>
    <row r="81" spans="12:12" x14ac:dyDescent="0.2">
      <c r="L81" s="3"/>
    </row>
    <row r="83" spans="12:12" x14ac:dyDescent="0.2">
      <c r="L83" s="3"/>
    </row>
    <row r="146" spans="1:1" x14ac:dyDescent="0.2">
      <c r="A146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7BA1-3502-074C-B676-8DD3C35D43C2}">
  <dimension ref="A1:N59"/>
  <sheetViews>
    <sheetView tabSelected="1" zoomScale="123" zoomScaleNormal="123" workbookViewId="0">
      <selection activeCell="R26" sqref="R26"/>
    </sheetView>
  </sheetViews>
  <sheetFormatPr baseColWidth="10" defaultRowHeight="16" x14ac:dyDescent="0.2"/>
  <sheetData>
    <row r="1" spans="1:14" s="13" customFormat="1" ht="21" x14ac:dyDescent="0.25">
      <c r="A1" s="12" t="s">
        <v>100</v>
      </c>
    </row>
    <row r="3" spans="1:14" x14ac:dyDescent="0.2">
      <c r="A3" t="s">
        <v>102</v>
      </c>
    </row>
    <row r="5" spans="1:14" x14ac:dyDescent="0.2">
      <c r="A5" t="s">
        <v>71</v>
      </c>
    </row>
    <row r="7" spans="1:14" x14ac:dyDescent="0.2">
      <c r="H7" s="5" t="s">
        <v>82</v>
      </c>
      <c r="I7" s="5"/>
      <c r="J7" s="5"/>
      <c r="K7" s="5" t="s">
        <v>38</v>
      </c>
      <c r="L7" s="5" t="s">
        <v>36</v>
      </c>
      <c r="M7" s="5" t="s">
        <v>81</v>
      </c>
      <c r="N7" s="5" t="s">
        <v>34</v>
      </c>
    </row>
    <row r="9" spans="1:14" x14ac:dyDescent="0.2">
      <c r="H9" t="s">
        <v>84</v>
      </c>
      <c r="K9" t="s">
        <v>59</v>
      </c>
      <c r="L9">
        <f>'Data inputs'!D34*'Data inputs'!D35</f>
        <v>5.4627836787728513E-2</v>
      </c>
      <c r="M9" t="s">
        <v>8</v>
      </c>
      <c r="N9" t="s">
        <v>89</v>
      </c>
    </row>
    <row r="11" spans="1:14" x14ac:dyDescent="0.2">
      <c r="H11" t="s">
        <v>83</v>
      </c>
      <c r="K11" t="s">
        <v>61</v>
      </c>
      <c r="L11">
        <f>'Data inputs'!D30/'Data inputs'!D13</f>
        <v>16.094671785747728</v>
      </c>
      <c r="N11" t="s">
        <v>90</v>
      </c>
    </row>
    <row r="12" spans="1:14" x14ac:dyDescent="0.2">
      <c r="H12" t="s">
        <v>83</v>
      </c>
      <c r="K12" t="s">
        <v>62</v>
      </c>
      <c r="L12">
        <f>'Data inputs'!D31/'Data inputs'!D12</f>
        <v>10.072513812154696</v>
      </c>
      <c r="N12" t="s">
        <v>90</v>
      </c>
    </row>
    <row r="15" spans="1:14" x14ac:dyDescent="0.2">
      <c r="H15" t="s">
        <v>85</v>
      </c>
      <c r="K15" t="s">
        <v>60</v>
      </c>
      <c r="L15">
        <f>'Data inputs'!D10/L11*(L11-L12)*L9</f>
        <v>0.200313444054835</v>
      </c>
      <c r="N15" t="s">
        <v>87</v>
      </c>
    </row>
    <row r="16" spans="1:14" x14ac:dyDescent="0.2">
      <c r="H16" t="s">
        <v>86</v>
      </c>
      <c r="K16" t="s">
        <v>63</v>
      </c>
      <c r="L16">
        <f>'Data inputs'!D22/'Data inputs'!D21*'Data inputs'!D35*L9</f>
        <v>9.6520642161721723E-2</v>
      </c>
      <c r="N16" t="s">
        <v>88</v>
      </c>
    </row>
    <row r="18" spans="8:14" x14ac:dyDescent="0.2">
      <c r="K18" t="s">
        <v>65</v>
      </c>
      <c r="L18">
        <f>0.6</f>
        <v>0.6</v>
      </c>
      <c r="N18" t="s">
        <v>74</v>
      </c>
    </row>
    <row r="19" spans="8:14" x14ac:dyDescent="0.2">
      <c r="K19" t="s">
        <v>66</v>
      </c>
      <c r="L19" s="2">
        <f>0.4+1.2*'Data inputs'!D14/'Data inputs'!D35</f>
        <v>1.6021213570328947</v>
      </c>
      <c r="N19" t="s">
        <v>74</v>
      </c>
    </row>
    <row r="21" spans="8:14" x14ac:dyDescent="0.2">
      <c r="H21" t="s">
        <v>91</v>
      </c>
      <c r="K21" t="s">
        <v>70</v>
      </c>
      <c r="L21">
        <v>1173</v>
      </c>
      <c r="M21" t="s">
        <v>1</v>
      </c>
    </row>
    <row r="22" spans="8:14" x14ac:dyDescent="0.2">
      <c r="K22" t="s">
        <v>67</v>
      </c>
      <c r="L22">
        <f>3/(L19^2)*L16/('Data inputs'!D14^2)</f>
        <v>1.253453214163054E-2</v>
      </c>
    </row>
    <row r="23" spans="8:14" x14ac:dyDescent="0.2">
      <c r="K23" t="s">
        <v>68</v>
      </c>
      <c r="L23">
        <f>3/(2*L18^2)*L15/('Data inputs'!D14^3)</f>
        <v>3.0912568526980714E-2</v>
      </c>
    </row>
    <row r="24" spans="8:14" x14ac:dyDescent="0.2">
      <c r="K24" t="s">
        <v>69</v>
      </c>
      <c r="L24" s="3">
        <f>(L22*L21+L23*L21^2)^(1/3)</f>
        <v>34.91084862009194</v>
      </c>
      <c r="M24" t="s">
        <v>1</v>
      </c>
      <c r="N24" t="s">
        <v>72</v>
      </c>
    </row>
    <row r="26" spans="8:14" x14ac:dyDescent="0.2">
      <c r="H26" s="6" t="s">
        <v>75</v>
      </c>
      <c r="I26" s="8"/>
      <c r="J26" s="8"/>
      <c r="K26" s="6" t="s">
        <v>95</v>
      </c>
      <c r="L26" s="7">
        <f>L24+'Data inputs'!D9</f>
        <v>41.770604717652915</v>
      </c>
      <c r="M26" s="6" t="s">
        <v>1</v>
      </c>
      <c r="N26" t="s">
        <v>94</v>
      </c>
    </row>
    <row r="58" spans="8:8" x14ac:dyDescent="0.2">
      <c r="H58" s="4" t="s">
        <v>64</v>
      </c>
    </row>
    <row r="59" spans="8:8" x14ac:dyDescent="0.2">
      <c r="H59" s="4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Results for Arizona Jan 2025</vt:lpstr>
      <vt:lpstr>Data inputs</vt:lpstr>
      <vt:lpstr>Briggs plume 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Thompson, David R (US 382B)</cp:lastModifiedBy>
  <dcterms:created xsi:type="dcterms:W3CDTF">2021-07-23T01:08:35Z</dcterms:created>
  <dcterms:modified xsi:type="dcterms:W3CDTF">2025-04-09T17:18:47Z</dcterms:modified>
</cp:coreProperties>
</file>