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KneppModel/"/>
    </mc:Choice>
  </mc:AlternateContent>
  <xr:revisionPtr revIDLastSave="0" documentId="13_ncr:1_{A8873BEC-14EE-664A-B7A8-88AF65D2C191}" xr6:coauthVersionLast="45" xr6:coauthVersionMax="45" xr10:uidLastSave="{00000000-0000-0000-0000-000000000000}"/>
  <bookViews>
    <workbookView xWindow="4180" yWindow="460" windowWidth="21420" windowHeight="14980" xr2:uid="{58677E38-1F61-6D41-B419-F7A8609B303E}"/>
  </bookViews>
  <sheets>
    <sheet name="nodesData" sheetId="1" r:id="rId1"/>
    <sheet name="Sheet3" sheetId="3" r:id="rId2"/>
    <sheet name="herbivoreNumb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7" i="1"/>
  <c r="C19" i="1"/>
  <c r="B19" i="1"/>
  <c r="E28" i="1"/>
  <c r="D28" i="1"/>
  <c r="B21" i="1"/>
  <c r="J41" i="1"/>
  <c r="J40" i="1"/>
  <c r="I41" i="1"/>
  <c r="I40" i="1"/>
  <c r="H42" i="1"/>
  <c r="C47" i="1" l="1"/>
  <c r="C46" i="1"/>
  <c r="A41" i="1"/>
  <c r="A40" i="1"/>
  <c r="D44" i="1"/>
  <c r="D43" i="1"/>
  <c r="E44" i="1"/>
  <c r="E43" i="1"/>
  <c r="F35" i="1"/>
  <c r="F34" i="1"/>
  <c r="E37" i="1"/>
  <c r="E36" i="1"/>
  <c r="E41" i="1"/>
  <c r="E40" i="1"/>
  <c r="F38" i="1"/>
  <c r="A38" i="1"/>
  <c r="B38" i="1" s="1"/>
  <c r="B37" i="1" s="1"/>
  <c r="B36" i="1" l="1"/>
  <c r="G8" i="1" l="1"/>
  <c r="C28" i="1"/>
  <c r="J24" i="1"/>
  <c r="J25" i="1" s="1"/>
  <c r="N25" i="1"/>
  <c r="L25" i="1"/>
  <c r="M25" i="1"/>
  <c r="I25" i="1"/>
  <c r="E25" i="1"/>
  <c r="F25" i="1"/>
  <c r="B25" i="1"/>
  <c r="C25" i="1"/>
  <c r="D25" i="1"/>
  <c r="A25" i="1"/>
  <c r="L22" i="1" l="1"/>
  <c r="M22" i="1"/>
  <c r="N22" i="1"/>
  <c r="O22" i="1"/>
  <c r="I22" i="1"/>
  <c r="H22" i="1"/>
  <c r="J22" i="1"/>
  <c r="B22" i="1"/>
  <c r="C22" i="1"/>
  <c r="D22" i="1"/>
  <c r="E22" i="1"/>
  <c r="F22" i="1"/>
  <c r="A22" i="1"/>
  <c r="J7" i="2" l="1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<sst xmlns="http://schemas.openxmlformats.org/spreadsheetml/2006/main" count="182" uniqueCount="124">
  <si>
    <t>Initial conditions: Pre reintroductions (2000-2009)</t>
  </si>
  <si>
    <t>Ecosystem element</t>
  </si>
  <si>
    <t># individuals</t>
  </si>
  <si>
    <t>weight (kg)</t>
  </si>
  <si>
    <t>kg/km2</t>
  </si>
  <si>
    <t xml:space="preserve">Unit </t>
  </si>
  <si>
    <t>Comment/Ref</t>
  </si>
  <si>
    <t>n</t>
  </si>
  <si>
    <t>largeHerb</t>
  </si>
  <si>
    <t>kg/acre</t>
  </si>
  <si>
    <t>2009: 9671 to 18820
2010:  11900 to 23418
2011: 14739 to 28973
2012: 16491 to 28973
2013: 16491 to 32453
2014: 31161 to 62224
2015:13858 to 27617
2016: 12571 to 25380
2017-2018: keep between max/min</t>
  </si>
  <si>
    <t>fallow deer = 35-93kg; exmoor pony 317-360kg; longhorn = 500-1000kg</t>
  </si>
  <si>
    <t>Keep between min/max every year</t>
  </si>
  <si>
    <t>Roe deer</t>
  </si>
  <si>
    <t>1 to 20</t>
  </si>
  <si>
    <t>10 to 25kg</t>
  </si>
  <si>
    <t>2.25 to 112.46</t>
  </si>
  <si>
    <t>Greenaway (2005) says "there were probably a dozen at any one time in the castle grounds." Took a prior of 1-20 based on this. GR estimates from Parliamentary Office of Science &amp; Technology (2009)</t>
  </si>
  <si>
    <t>2.24 to 449 in 2009 and 2018</t>
  </si>
  <si>
    <t>Penny Green (pers comm) estimates there are currently 20-80 on site (as of 2019/2020). The numbers for 2009-2010 are not known. Runs with 1-80 individuals were accepted.</t>
  </si>
  <si>
    <t>2.24 to 449 in 2018</t>
  </si>
  <si>
    <t>Tamworth pig</t>
  </si>
  <si>
    <t>2009: 1573-2910
2010:  764-1413
2011: 988-1829
2012: 1483-2743
2013: 270-499
2014: 809-1497
2015: 404-748
2016: 315 to 582
2017-2018: keep between max/min</t>
  </si>
  <si>
    <t>200-370kg. Forcings each year</t>
  </si>
  <si>
    <t>Beaver</t>
  </si>
  <si>
    <t>Not reintroduced yet</t>
  </si>
  <si>
    <t>9.9 to 27 in 2018</t>
  </si>
  <si>
    <t>11-30kg; 2 pairs reintroduced</t>
  </si>
  <si>
    <t>Fox</t>
  </si>
  <si>
    <t>1 to 62</t>
  </si>
  <si>
    <t>5 to 7kg</t>
  </si>
  <si>
    <t>1.12 to 97.53 in 2009 and 2018</t>
  </si>
  <si>
    <t>Ensure populations don't explore</t>
  </si>
  <si>
    <t>1.12 to 97.53 in 2018</t>
  </si>
  <si>
    <t>Rabbits</t>
  </si>
  <si>
    <t>1.2 to 2kg</t>
  </si>
  <si>
    <t>2.7 to 452</t>
  </si>
  <si>
    <t>reptilesAmphibians</t>
  </si>
  <si>
    <t>0.022 to 0.18kg</t>
  </si>
  <si>
    <t>Songbirds</t>
  </si>
  <si>
    <t>108 to 1000</t>
  </si>
  <si>
    <t>0.006 to 0.12kg</t>
  </si>
  <si>
    <t>0.15 to 27.0</t>
  </si>
  <si>
    <t>0.26 to 27.0</t>
  </si>
  <si>
    <t>Raptors</t>
  </si>
  <si>
    <t>0.5 to 1.5kg</t>
  </si>
  <si>
    <t>0.11 to 8.42</t>
  </si>
  <si>
    <t>0.11 to 8.42 in 2009 and 2018</t>
  </si>
  <si>
    <t>0.11 to 8.42 in 2018</t>
  </si>
  <si>
    <t>ArableGrass</t>
  </si>
  <si>
    <t>76 to 90%</t>
  </si>
  <si>
    <t>-</t>
  </si>
  <si>
    <t>3.38 to 4.01</t>
  </si>
  <si>
    <t>acre</t>
  </si>
  <si>
    <t>2.6 to 4.01 in 2009</t>
  </si>
  <si>
    <t>Estimates for year 2009. Kirby estimates 55% in 2018; took +/- 5%</t>
  </si>
  <si>
    <t>2.2 to 2.67 in 2018</t>
  </si>
  <si>
    <t>Woodland</t>
  </si>
  <si>
    <t>5 to 14%</t>
  </si>
  <si>
    <t>0.223 to 0.623</t>
  </si>
  <si>
    <t>0.534 to 0.979 in 2009</t>
  </si>
  <si>
    <t>Estimates for year 2009; Kirby estimates 7-18% in 2018</t>
  </si>
  <si>
    <t>0.31 to 0.80 in 2018</t>
  </si>
  <si>
    <t>ThornyScrub</t>
  </si>
  <si>
    <t>1.1 to 10%</t>
  </si>
  <si>
    <t>0.045 to 0.445</t>
  </si>
  <si>
    <t>0.049 to 0.89 in 2009</t>
  </si>
  <si>
    <t>Estimates for year 2009; Kirby estimates 22-35% in 2018</t>
  </si>
  <si>
    <t>0.98 to 1.56 in 2018</t>
  </si>
  <si>
    <t>Water</t>
  </si>
  <si>
    <t>3.3 to 5.5%</t>
  </si>
  <si>
    <t>0.15 to 0.24</t>
  </si>
  <si>
    <t>0.15 to 0.24 in 2009 and 2018</t>
  </si>
  <si>
    <t>Estimates for year 2009</t>
  </si>
  <si>
    <t>0.15 to 0.24 in 2018</t>
  </si>
  <si>
    <t>organicMatter</t>
  </si>
  <si>
    <t>2.8 to 3.1</t>
  </si>
  <si>
    <t>percent</t>
  </si>
  <si>
    <t>soilNitrogen</t>
  </si>
  <si>
    <t>0.12 to 0.14</t>
  </si>
  <si>
    <t>soilCarbon</t>
  </si>
  <si>
    <t>1.10 to 1.13</t>
  </si>
  <si>
    <r>
      <rPr>
        <b/>
        <sz val="14"/>
        <color theme="4"/>
        <rFont val="Calibri (Body)"/>
      </rPr>
      <t>Filtering Conditions</t>
    </r>
    <r>
      <rPr>
        <b/>
        <sz val="14"/>
        <color theme="1"/>
        <rFont val="Calibri"/>
        <family val="2"/>
        <scheme val="minor"/>
      </rPr>
      <t xml:space="preserve"> or </t>
    </r>
    <r>
      <rPr>
        <b/>
        <sz val="14"/>
        <color rgb="FFFF0000"/>
        <rFont val="Calibri (Body)"/>
      </rPr>
      <t>Forcing</t>
    </r>
    <r>
      <rPr>
        <b/>
        <sz val="14"/>
        <color theme="1"/>
        <rFont val="Calibri"/>
        <family val="2"/>
        <scheme val="minor"/>
      </rPr>
      <t>: Post reintroductions (2009-2018)</t>
    </r>
  </si>
  <si>
    <r>
      <t xml:space="preserve">Filtering Conditions or </t>
    </r>
    <r>
      <rPr>
        <b/>
        <sz val="14"/>
        <color rgb="FF4472C4"/>
        <rFont val="Calibri (Body)"/>
      </rPr>
      <t>Forcing</t>
    </r>
    <r>
      <rPr>
        <b/>
        <sz val="14"/>
        <color rgb="FF000000"/>
        <rFont val="Calibri"/>
        <family val="2"/>
        <scheme val="minor"/>
      </rPr>
      <t>: Post reintroductions (2018-2043); 25 years</t>
    </r>
  </si>
  <si>
    <t>Southern Block</t>
  </si>
  <si>
    <t>Fallow deer</t>
  </si>
  <si>
    <t>Red deer</t>
  </si>
  <si>
    <t>Longhorn cattle</t>
  </si>
  <si>
    <t>Exmoor ponies</t>
  </si>
  <si>
    <t>Tamworth pigs</t>
  </si>
  <si>
    <t>Total</t>
  </si>
  <si>
    <t>roeDeer</t>
  </si>
  <si>
    <t>tamworthPig</t>
  </si>
  <si>
    <t>beaver</t>
  </si>
  <si>
    <t>rabbits</t>
  </si>
  <si>
    <t>fox</t>
  </si>
  <si>
    <t>songbirdsWaterfowl</t>
  </si>
  <si>
    <t>raptors</t>
  </si>
  <si>
    <t>arableGrass</t>
  </si>
  <si>
    <t>woodland</t>
  </si>
  <si>
    <t>thornyScrub</t>
  </si>
  <si>
    <t>wetland</t>
  </si>
  <si>
    <t>7-18%</t>
  </si>
  <si>
    <t>70-90%</t>
  </si>
  <si>
    <t>=</t>
  </si>
  <si>
    <t>55-60%</t>
  </si>
  <si>
    <t>17% +-5</t>
  </si>
  <si>
    <t>1-20%</t>
  </si>
  <si>
    <t>20-35%</t>
  </si>
  <si>
    <t>No data available from Knepp. A 2004 study estimates 0.21-2.23 foxes/sq km (247 acres) in Britain; another estimated 0.001-13.9 foxes per km2 (Porteus et al. 2019), where 13.9 was the highest density ever recorded in Bristol. The 0.21-2.23 was used.</t>
  </si>
  <si>
    <t>4.7 to 69.5</t>
  </si>
  <si>
    <t>Minimum 113 songbirds/waterfowl counted in 2005</t>
  </si>
  <si>
    <t>Minimum 182 counted in 2009</t>
  </si>
  <si>
    <t>144 counted  in 2016; need updated data</t>
  </si>
  <si>
    <t>63 amphibs + 13 reptiles counted in 2005</t>
  </si>
  <si>
    <t>70 to 1000</t>
  </si>
  <si>
    <t>0.34 to 40.4</t>
  </si>
  <si>
    <t>Valuation 1</t>
  </si>
  <si>
    <t>Valuation 2</t>
  </si>
  <si>
    <t>Difference</t>
  </si>
  <si>
    <t>total:</t>
  </si>
  <si>
    <t>1 to 5</t>
  </si>
  <si>
    <t>There are an estimated 36mil rabbits in the UK (Harris et al. 1995; Natural England, 2018). They can weigh 1.2-2kg (Wildlife Trusts, 2020). Extrapolated to  ~148/km2 or 660 total. Multiplied this by 2</t>
  </si>
  <si>
    <t>1 to 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</si>
</sst>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4"/>
      <name val="Calibri (Body)"/>
    </font>
    <font>
      <b/>
      <sz val="14"/>
      <color rgb="FFFF0000"/>
      <name val="Calibri (Body)"/>
    </font>
    <font>
      <b/>
      <sz val="14"/>
      <color rgb="FF4472C4"/>
      <name val="Calibri (Body)"/>
    </font>
    <font>
      <b/>
      <sz val="12"/>
      <color rgb="FFC00000"/>
      <name val="Calibri"/>
      <family val="2"/>
      <scheme val="minor"/>
    </font>
    <font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7" fillId="2" borderId="4" xfId="0" applyFont="1" applyFill="1" applyBorder="1"/>
    <xf numFmtId="0" fontId="7" fillId="0" borderId="4" xfId="0" applyFont="1" applyBorder="1"/>
    <xf numFmtId="0" fontId="5" fillId="2" borderId="7" xfId="0" applyFont="1" applyFill="1" applyBorder="1"/>
    <xf numFmtId="0" fontId="6" fillId="2" borderId="7" xfId="0" applyFont="1" applyFill="1" applyBorder="1"/>
    <xf numFmtId="0" fontId="7" fillId="2" borderId="7" xfId="0" applyFont="1" applyFill="1" applyBorder="1"/>
    <xf numFmtId="0" fontId="7" fillId="2" borderId="8" xfId="0" applyFont="1" applyFill="1" applyBorder="1" applyAlignment="1">
      <alignment wrapText="1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7" fillId="2" borderId="8" xfId="0" applyFont="1" applyFill="1" applyBorder="1"/>
    <xf numFmtId="0" fontId="7" fillId="0" borderId="8" xfId="0" applyFont="1" applyBorder="1"/>
    <xf numFmtId="2" fontId="6" fillId="2" borderId="7" xfId="0" applyNumberFormat="1" applyFont="1" applyFill="1" applyBorder="1"/>
    <xf numFmtId="2" fontId="6" fillId="0" borderId="7" xfId="0" applyNumberFormat="1" applyFont="1" applyBorder="1"/>
    <xf numFmtId="0" fontId="9" fillId="2" borderId="7" xfId="0" applyFont="1" applyFill="1" applyBorder="1"/>
    <xf numFmtId="0" fontId="6" fillId="0" borderId="7" xfId="0" applyFont="1" applyBorder="1"/>
    <xf numFmtId="0" fontId="5" fillId="0" borderId="7" xfId="0" applyFont="1" applyBorder="1"/>
    <xf numFmtId="0" fontId="4" fillId="2" borderId="7" xfId="0" applyFont="1" applyFill="1" applyBorder="1"/>
    <xf numFmtId="0" fontId="5" fillId="2" borderId="10" xfId="0" applyFont="1" applyFill="1" applyBorder="1"/>
    <xf numFmtId="0" fontId="6" fillId="2" borderId="10" xfId="0" applyFont="1" applyFill="1" applyBorder="1"/>
    <xf numFmtId="0" fontId="6" fillId="0" borderId="10" xfId="0" applyFont="1" applyBorder="1"/>
    <xf numFmtId="0" fontId="5" fillId="0" borderId="10" xfId="0" applyFont="1" applyBorder="1"/>
    <xf numFmtId="0" fontId="11" fillId="2" borderId="13" xfId="0" applyFont="1" applyFill="1" applyBorder="1"/>
    <xf numFmtId="0" fontId="11" fillId="2" borderId="14" xfId="0" applyFont="1" applyFill="1" applyBorder="1"/>
    <xf numFmtId="0" fontId="11" fillId="0" borderId="13" xfId="0" applyFont="1" applyBorder="1"/>
    <xf numFmtId="0" fontId="11" fillId="0" borderId="14" xfId="0" applyFont="1" applyBorder="1"/>
    <xf numFmtId="0" fontId="12" fillId="0" borderId="0" xfId="0" applyFont="1"/>
    <xf numFmtId="0" fontId="11" fillId="2" borderId="7" xfId="0" applyFont="1" applyFill="1" applyBorder="1"/>
    <xf numFmtId="0" fontId="11" fillId="2" borderId="8" xfId="0" applyFont="1" applyFill="1" applyBorder="1"/>
    <xf numFmtId="0" fontId="11" fillId="0" borderId="7" xfId="0" applyFont="1" applyBorder="1"/>
    <xf numFmtId="0" fontId="11" fillId="0" borderId="8" xfId="0" applyFont="1" applyBorder="1"/>
    <xf numFmtId="0" fontId="11" fillId="2" borderId="16" xfId="0" applyFont="1" applyFill="1" applyBorder="1"/>
    <xf numFmtId="0" fontId="11" fillId="2" borderId="17" xfId="0" applyFont="1" applyFill="1" applyBorder="1"/>
    <xf numFmtId="0" fontId="11" fillId="0" borderId="16" xfId="0" applyFont="1" applyBorder="1"/>
    <xf numFmtId="0" fontId="11" fillId="0" borderId="17" xfId="0" applyFont="1" applyBorder="1"/>
    <xf numFmtId="0" fontId="8" fillId="2" borderId="4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1" xfId="0" applyFont="1" applyFill="1" applyBorder="1"/>
    <xf numFmtId="0" fontId="8" fillId="3" borderId="4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6" fillId="3" borderId="7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8" fillId="3" borderId="7" xfId="0" applyFont="1" applyFill="1" applyBorder="1"/>
    <xf numFmtId="2" fontId="6" fillId="3" borderId="7" xfId="0" applyNumberFormat="1" applyFont="1" applyFill="1" applyBorder="1"/>
    <xf numFmtId="0" fontId="9" fillId="3" borderId="7" xfId="0" applyFont="1" applyFill="1" applyBorder="1"/>
    <xf numFmtId="0" fontId="4" fillId="3" borderId="7" xfId="0" applyFont="1" applyFill="1" applyBorder="1"/>
    <xf numFmtId="0" fontId="5" fillId="3" borderId="7" xfId="0" applyFont="1" applyFill="1" applyBorder="1"/>
    <xf numFmtId="0" fontId="6" fillId="3" borderId="10" xfId="0" applyFont="1" applyFill="1" applyBorder="1"/>
    <xf numFmtId="0" fontId="5" fillId="3" borderId="10" xfId="0" applyFont="1" applyFill="1" applyBorder="1"/>
    <xf numFmtId="0" fontId="7" fillId="3" borderId="11" xfId="0" applyFont="1" applyFill="1" applyBorder="1"/>
    <xf numFmtId="0" fontId="10" fillId="3" borderId="13" xfId="0" applyFont="1" applyFill="1" applyBorder="1"/>
    <xf numFmtId="0" fontId="11" fillId="3" borderId="13" xfId="0" applyFont="1" applyFill="1" applyBorder="1"/>
    <xf numFmtId="0" fontId="11" fillId="3" borderId="14" xfId="0" applyFont="1" applyFill="1" applyBorder="1"/>
    <xf numFmtId="0" fontId="10" fillId="3" borderId="7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0" fillId="3" borderId="16" xfId="0" applyFont="1" applyFill="1" applyBorder="1"/>
    <xf numFmtId="0" fontId="11" fillId="3" borderId="16" xfId="0" applyFont="1" applyFill="1" applyBorder="1"/>
    <xf numFmtId="0" fontId="11" fillId="3" borderId="17" xfId="0" applyFont="1" applyFill="1" applyBorder="1"/>
    <xf numFmtId="0" fontId="1" fillId="0" borderId="0" xfId="0" applyFont="1"/>
    <xf numFmtId="0" fontId="1" fillId="0" borderId="19" xfId="0" applyFont="1" applyBorder="1"/>
    <xf numFmtId="0" fontId="0" fillId="0" borderId="20" xfId="0" applyBorder="1"/>
    <xf numFmtId="0" fontId="13" fillId="0" borderId="21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3" fillId="0" borderId="2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/>
    <xf numFmtId="0" fontId="5" fillId="0" borderId="4" xfId="0" applyFont="1" applyBorder="1"/>
    <xf numFmtId="0" fontId="6" fillId="0" borderId="4" xfId="0" applyFont="1" applyBorder="1"/>
    <xf numFmtId="0" fontId="7" fillId="0" borderId="5" xfId="0" applyFont="1" applyBorder="1"/>
    <xf numFmtId="0" fontId="5" fillId="0" borderId="9" xfId="0" applyFont="1" applyBorder="1"/>
    <xf numFmtId="2" fontId="5" fillId="0" borderId="9" xfId="0" applyNumberFormat="1" applyFont="1" applyBorder="1"/>
    <xf numFmtId="2" fontId="5" fillId="0" borderId="7" xfId="0" applyNumberFormat="1" applyFont="1" applyBorder="1"/>
    <xf numFmtId="0" fontId="5" fillId="0" borderId="12" xfId="0" applyFont="1" applyBorder="1"/>
    <xf numFmtId="0" fontId="7" fillId="0" borderId="11" xfId="0" applyFont="1" applyBorder="1"/>
    <xf numFmtId="0" fontId="11" fillId="0" borderId="15" xfId="0" applyFont="1" applyBorder="1"/>
    <xf numFmtId="0" fontId="11" fillId="0" borderId="9" xfId="0" applyFont="1" applyBorder="1"/>
    <xf numFmtId="0" fontId="11" fillId="0" borderId="1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9" fillId="0" borderId="27" xfId="0" applyFont="1" applyBorder="1"/>
    <xf numFmtId="0" fontId="19" fillId="0" borderId="25" xfId="0" applyFont="1" applyBorder="1"/>
    <xf numFmtId="0" fontId="19" fillId="0" borderId="28" xfId="0" applyFont="1" applyBorder="1"/>
    <xf numFmtId="0" fontId="4" fillId="2" borderId="7" xfId="0" applyFont="1" applyFill="1" applyBorder="1" applyAlignment="1">
      <alignment wrapText="1"/>
    </xf>
    <xf numFmtId="0" fontId="20" fillId="0" borderId="0" xfId="0" applyFont="1"/>
    <xf numFmtId="0" fontId="14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 applyAlignment="1">
      <alignment wrapText="1"/>
    </xf>
    <xf numFmtId="0" fontId="7" fillId="0" borderId="31" xfId="0" applyFont="1" applyBorder="1"/>
    <xf numFmtId="0" fontId="7" fillId="0" borderId="32" xfId="0" applyFont="1" applyBorder="1"/>
    <xf numFmtId="0" fontId="11" fillId="0" borderId="33" xfId="0" applyFont="1" applyBorder="1"/>
    <xf numFmtId="0" fontId="11" fillId="0" borderId="31" xfId="0" applyFont="1" applyBorder="1"/>
    <xf numFmtId="0" fontId="11" fillId="0" borderId="34" xfId="0" applyFont="1" applyBorder="1"/>
    <xf numFmtId="0" fontId="14" fillId="2" borderId="2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wrapText="1"/>
    </xf>
    <xf numFmtId="0" fontId="7" fillId="2" borderId="31" xfId="0" applyFont="1" applyFill="1" applyBorder="1" applyAlignment="1">
      <alignment wrapText="1"/>
    </xf>
    <xf numFmtId="0" fontId="7" fillId="2" borderId="31" xfId="0" applyFont="1" applyFill="1" applyBorder="1"/>
    <xf numFmtId="0" fontId="5" fillId="2" borderId="31" xfId="0" applyFont="1" applyFill="1" applyBorder="1" applyAlignment="1">
      <alignment wrapText="1"/>
    </xf>
    <xf numFmtId="0" fontId="5" fillId="2" borderId="32" xfId="0" applyFont="1" applyFill="1" applyBorder="1"/>
    <xf numFmtId="0" fontId="11" fillId="2" borderId="33" xfId="0" applyFont="1" applyFill="1" applyBorder="1"/>
    <xf numFmtId="0" fontId="11" fillId="2" borderId="31" xfId="0" applyFont="1" applyFill="1" applyBorder="1"/>
    <xf numFmtId="0" fontId="11" fillId="2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BD0C-F41A-1E42-B286-835ABABF2481}">
  <dimension ref="A1:O47"/>
  <sheetViews>
    <sheetView tabSelected="1" zoomScale="79" zoomScaleNormal="79" workbookViewId="0">
      <pane xSplit="1" topLeftCell="F1" activePane="topRight" state="frozen"/>
      <selection activeCell="A5" sqref="A5"/>
      <selection pane="topRight" activeCell="P5" sqref="P5"/>
    </sheetView>
  </sheetViews>
  <sheetFormatPr baseColWidth="10" defaultRowHeight="16"/>
  <cols>
    <col min="1" max="1" width="20" customWidth="1"/>
    <col min="2" max="2" width="13.5" customWidth="1"/>
    <col min="3" max="4" width="15" customWidth="1"/>
    <col min="6" max="6" width="33.6640625" customWidth="1"/>
    <col min="7" max="7" width="14" customWidth="1"/>
    <col min="8" max="8" width="32.5" customWidth="1"/>
    <col min="9" max="9" width="11.83203125" customWidth="1"/>
    <col min="10" max="10" width="26.33203125" customWidth="1"/>
    <col min="11" max="11" width="12.83203125" customWidth="1"/>
    <col min="12" max="12" width="36" customWidth="1"/>
    <col min="13" max="13" width="8.1640625" customWidth="1"/>
    <col min="14" max="14" width="28.1640625" customWidth="1"/>
    <col min="16" max="16" width="25" customWidth="1"/>
  </cols>
  <sheetData>
    <row r="1" spans="1:14" ht="20" thickBot="1">
      <c r="A1" s="65" t="s">
        <v>1</v>
      </c>
      <c r="B1" s="66" t="s">
        <v>0</v>
      </c>
      <c r="C1" s="66"/>
      <c r="D1" s="66"/>
      <c r="E1" s="66"/>
      <c r="F1" s="67"/>
      <c r="G1" s="102"/>
      <c r="H1" s="68" t="s">
        <v>82</v>
      </c>
      <c r="I1" s="69"/>
      <c r="J1" s="70"/>
      <c r="K1" s="111"/>
      <c r="L1" s="71" t="s">
        <v>83</v>
      </c>
      <c r="M1" s="72"/>
      <c r="N1" s="72"/>
    </row>
    <row r="2" spans="1:14" s="81" customFormat="1" ht="17" thickBot="1">
      <c r="A2" s="73"/>
      <c r="B2" s="74" t="s">
        <v>2</v>
      </c>
      <c r="C2" s="75" t="s">
        <v>3</v>
      </c>
      <c r="D2" s="75" t="s">
        <v>4</v>
      </c>
      <c r="E2" s="75" t="s">
        <v>5</v>
      </c>
      <c r="F2" s="76" t="s">
        <v>6</v>
      </c>
      <c r="G2" s="103"/>
      <c r="H2" s="77" t="s">
        <v>7</v>
      </c>
      <c r="I2" s="77" t="s">
        <v>5</v>
      </c>
      <c r="J2" s="78" t="s">
        <v>6</v>
      </c>
      <c r="K2" s="112"/>
      <c r="L2" s="79" t="s">
        <v>7</v>
      </c>
      <c r="M2" s="79" t="s">
        <v>5</v>
      </c>
      <c r="N2" s="80" t="s">
        <v>6</v>
      </c>
    </row>
    <row r="3" spans="1:14" ht="135">
      <c r="A3" s="94" t="s">
        <v>8</v>
      </c>
      <c r="B3" s="82">
        <v>0</v>
      </c>
      <c r="C3" s="83"/>
      <c r="D3" s="84">
        <v>0</v>
      </c>
      <c r="E3" s="2" t="s">
        <v>9</v>
      </c>
      <c r="F3" s="85"/>
      <c r="G3" s="104"/>
      <c r="H3" s="34" t="s">
        <v>10</v>
      </c>
      <c r="I3" s="1" t="s">
        <v>9</v>
      </c>
      <c r="J3" s="35" t="s">
        <v>11</v>
      </c>
      <c r="K3" s="113"/>
      <c r="L3" s="39" t="s">
        <v>12</v>
      </c>
      <c r="M3" s="40" t="s">
        <v>9</v>
      </c>
      <c r="N3" s="41"/>
    </row>
    <row r="4" spans="1:14" ht="75">
      <c r="A4" s="95" t="s">
        <v>13</v>
      </c>
      <c r="B4" s="86" t="s">
        <v>14</v>
      </c>
      <c r="C4" s="15" t="s">
        <v>15</v>
      </c>
      <c r="D4" s="14" t="s">
        <v>16</v>
      </c>
      <c r="E4" s="7" t="s">
        <v>9</v>
      </c>
      <c r="F4" s="8" t="s">
        <v>17</v>
      </c>
      <c r="G4" s="105"/>
      <c r="H4" s="16" t="s">
        <v>18</v>
      </c>
      <c r="I4" s="5" t="s">
        <v>9</v>
      </c>
      <c r="J4" s="6" t="s">
        <v>19</v>
      </c>
      <c r="K4" s="114"/>
      <c r="L4" s="42" t="s">
        <v>20</v>
      </c>
      <c r="M4" s="43" t="s">
        <v>9</v>
      </c>
      <c r="N4" s="44"/>
    </row>
    <row r="5" spans="1:14" ht="135">
      <c r="A5" s="95" t="s">
        <v>21</v>
      </c>
      <c r="B5" s="86">
        <v>0</v>
      </c>
      <c r="C5" s="15"/>
      <c r="D5" s="14">
        <v>0</v>
      </c>
      <c r="E5" s="7" t="s">
        <v>9</v>
      </c>
      <c r="F5" s="10"/>
      <c r="G5" s="106"/>
      <c r="H5" s="36" t="s">
        <v>22</v>
      </c>
      <c r="I5" s="5" t="s">
        <v>9</v>
      </c>
      <c r="J5" s="9" t="s">
        <v>23</v>
      </c>
      <c r="K5" s="115"/>
      <c r="L5" s="45" t="s">
        <v>12</v>
      </c>
      <c r="M5" s="43" t="s">
        <v>9</v>
      </c>
      <c r="N5" s="44"/>
    </row>
    <row r="6" spans="1:14">
      <c r="A6" s="95" t="s">
        <v>24</v>
      </c>
      <c r="B6" s="86">
        <v>0</v>
      </c>
      <c r="C6" s="15"/>
      <c r="D6" s="14">
        <v>0</v>
      </c>
      <c r="E6" s="7" t="s">
        <v>9</v>
      </c>
      <c r="F6" s="10" t="s">
        <v>25</v>
      </c>
      <c r="G6" s="106"/>
      <c r="H6" s="13">
        <v>0</v>
      </c>
      <c r="I6" s="5" t="s">
        <v>9</v>
      </c>
      <c r="J6" s="9"/>
      <c r="K6" s="115"/>
      <c r="L6" s="45" t="s">
        <v>26</v>
      </c>
      <c r="M6" s="43" t="s">
        <v>9</v>
      </c>
      <c r="N6" s="44" t="s">
        <v>27</v>
      </c>
    </row>
    <row r="7" spans="1:14" ht="75">
      <c r="A7" s="95" t="s">
        <v>34</v>
      </c>
      <c r="B7" s="86" t="s">
        <v>123</v>
      </c>
      <c r="C7" s="15" t="s">
        <v>35</v>
      </c>
      <c r="D7" s="14" t="s">
        <v>36</v>
      </c>
      <c r="E7" s="7" t="s">
        <v>9</v>
      </c>
      <c r="F7" s="8" t="s">
        <v>122</v>
      </c>
      <c r="G7" s="105"/>
      <c r="H7" s="14" t="s">
        <v>36</v>
      </c>
      <c r="I7" s="5" t="s">
        <v>9</v>
      </c>
      <c r="J7" s="9"/>
      <c r="K7" s="115"/>
      <c r="L7" s="47"/>
      <c r="M7" s="43" t="s">
        <v>9</v>
      </c>
      <c r="N7" s="44"/>
    </row>
    <row r="8" spans="1:14" ht="90">
      <c r="A8" s="95" t="s">
        <v>28</v>
      </c>
      <c r="B8" s="87" t="s">
        <v>29</v>
      </c>
      <c r="C8" s="88" t="s">
        <v>30</v>
      </c>
      <c r="D8" s="12" t="s">
        <v>110</v>
      </c>
      <c r="E8" s="7" t="s">
        <v>9</v>
      </c>
      <c r="F8" s="8" t="s">
        <v>109</v>
      </c>
      <c r="G8" s="105">
        <f>2.23*7*4.45</f>
        <v>69.464500000000001</v>
      </c>
      <c r="H8" s="11" t="s">
        <v>31</v>
      </c>
      <c r="I8" s="5" t="s">
        <v>9</v>
      </c>
      <c r="J8" s="9" t="s">
        <v>32</v>
      </c>
      <c r="K8" s="115"/>
      <c r="L8" s="46" t="s">
        <v>33</v>
      </c>
      <c r="M8" s="43" t="s">
        <v>9</v>
      </c>
      <c r="N8" s="44"/>
    </row>
    <row r="9" spans="1:14">
      <c r="A9" s="95" t="s">
        <v>39</v>
      </c>
      <c r="B9" s="86" t="s">
        <v>40</v>
      </c>
      <c r="C9" s="15" t="s">
        <v>41</v>
      </c>
      <c r="D9" s="14" t="s">
        <v>42</v>
      </c>
      <c r="E9" s="7" t="s">
        <v>9</v>
      </c>
      <c r="F9" s="10" t="s">
        <v>111</v>
      </c>
      <c r="G9" s="106"/>
      <c r="H9" s="16" t="s">
        <v>43</v>
      </c>
      <c r="I9" s="5" t="s">
        <v>9</v>
      </c>
      <c r="J9" s="9" t="s">
        <v>112</v>
      </c>
      <c r="K9" s="115"/>
      <c r="L9" s="47" t="s">
        <v>113</v>
      </c>
      <c r="M9" s="43" t="s">
        <v>9</v>
      </c>
      <c r="N9" s="44"/>
    </row>
    <row r="10" spans="1:14">
      <c r="A10" s="95" t="s">
        <v>44</v>
      </c>
      <c r="B10" s="86" t="s">
        <v>121</v>
      </c>
      <c r="C10" s="15" t="s">
        <v>45</v>
      </c>
      <c r="D10" s="14" t="s">
        <v>46</v>
      </c>
      <c r="E10" s="7" t="s">
        <v>9</v>
      </c>
      <c r="F10" s="10"/>
      <c r="G10" s="106"/>
      <c r="H10" s="4" t="s">
        <v>47</v>
      </c>
      <c r="I10" s="5" t="s">
        <v>9</v>
      </c>
      <c r="J10" s="9" t="s">
        <v>32</v>
      </c>
      <c r="K10" s="115"/>
      <c r="L10" s="42" t="s">
        <v>48</v>
      </c>
      <c r="M10" s="43" t="s">
        <v>9</v>
      </c>
      <c r="N10" s="44"/>
    </row>
    <row r="11" spans="1:14">
      <c r="A11" s="95" t="s">
        <v>37</v>
      </c>
      <c r="B11" s="86" t="s">
        <v>115</v>
      </c>
      <c r="C11" s="15" t="s">
        <v>38</v>
      </c>
      <c r="D11" s="14" t="s">
        <v>116</v>
      </c>
      <c r="E11" s="7" t="s">
        <v>9</v>
      </c>
      <c r="F11" s="10" t="s">
        <v>114</v>
      </c>
      <c r="G11" s="106"/>
      <c r="H11" s="14" t="s">
        <v>116</v>
      </c>
      <c r="I11" s="5" t="s">
        <v>9</v>
      </c>
      <c r="J11" s="9"/>
      <c r="K11" s="115"/>
      <c r="L11" s="47"/>
      <c r="M11" s="43" t="s">
        <v>9</v>
      </c>
      <c r="N11" s="44"/>
    </row>
    <row r="12" spans="1:14" ht="30">
      <c r="A12" s="95" t="s">
        <v>49</v>
      </c>
      <c r="B12" s="86" t="s">
        <v>50</v>
      </c>
      <c r="C12" s="15"/>
      <c r="D12" s="14" t="s">
        <v>52</v>
      </c>
      <c r="E12" s="15" t="s">
        <v>53</v>
      </c>
      <c r="F12" s="10"/>
      <c r="G12" s="106" t="s">
        <v>103</v>
      </c>
      <c r="H12" s="100" t="s">
        <v>54</v>
      </c>
      <c r="I12" s="3" t="s">
        <v>53</v>
      </c>
      <c r="J12" s="37" t="s">
        <v>55</v>
      </c>
      <c r="K12" s="116" t="s">
        <v>105</v>
      </c>
      <c r="L12" s="48" t="s">
        <v>56</v>
      </c>
      <c r="M12" s="49" t="s">
        <v>53</v>
      </c>
      <c r="N12" s="44"/>
    </row>
    <row r="13" spans="1:14" ht="30">
      <c r="A13" s="95" t="s">
        <v>57</v>
      </c>
      <c r="B13" s="86" t="s">
        <v>58</v>
      </c>
      <c r="C13" s="15" t="s">
        <v>51</v>
      </c>
      <c r="D13" s="14" t="s">
        <v>59</v>
      </c>
      <c r="E13" s="15" t="s">
        <v>53</v>
      </c>
      <c r="F13" s="10"/>
      <c r="G13" s="106" t="s">
        <v>106</v>
      </c>
      <c r="H13" s="100" t="s">
        <v>60</v>
      </c>
      <c r="I13" s="3" t="s">
        <v>53</v>
      </c>
      <c r="J13" s="37" t="s">
        <v>61</v>
      </c>
      <c r="K13" s="115" t="s">
        <v>102</v>
      </c>
      <c r="L13" s="48" t="s">
        <v>62</v>
      </c>
      <c r="M13" s="49" t="s">
        <v>53</v>
      </c>
      <c r="N13" s="44"/>
    </row>
    <row r="14" spans="1:14" ht="30">
      <c r="A14" s="95" t="s">
        <v>63</v>
      </c>
      <c r="B14" s="86" t="s">
        <v>64</v>
      </c>
      <c r="C14" s="15" t="s">
        <v>51</v>
      </c>
      <c r="D14" s="14" t="s">
        <v>65</v>
      </c>
      <c r="E14" s="15" t="s">
        <v>53</v>
      </c>
      <c r="F14" s="10"/>
      <c r="G14" s="106" t="s">
        <v>107</v>
      </c>
      <c r="H14" s="100" t="s">
        <v>66</v>
      </c>
      <c r="I14" s="3" t="s">
        <v>53</v>
      </c>
      <c r="J14" s="37" t="s">
        <v>67</v>
      </c>
      <c r="K14" s="116" t="s">
        <v>108</v>
      </c>
      <c r="L14" s="48" t="s">
        <v>68</v>
      </c>
      <c r="M14" s="49" t="s">
        <v>53</v>
      </c>
      <c r="N14" s="44"/>
    </row>
    <row r="15" spans="1:14" ht="17" thickBot="1">
      <c r="A15" s="96" t="s">
        <v>69</v>
      </c>
      <c r="B15" s="89" t="s">
        <v>70</v>
      </c>
      <c r="C15" s="20" t="s">
        <v>51</v>
      </c>
      <c r="D15" s="19" t="s">
        <v>71</v>
      </c>
      <c r="E15" s="20" t="s">
        <v>53</v>
      </c>
      <c r="F15" s="90"/>
      <c r="G15" s="107"/>
      <c r="H15" s="18" t="s">
        <v>72</v>
      </c>
      <c r="I15" s="17" t="s">
        <v>53</v>
      </c>
      <c r="J15" s="38" t="s">
        <v>73</v>
      </c>
      <c r="K15" s="117"/>
      <c r="L15" s="50" t="s">
        <v>74</v>
      </c>
      <c r="M15" s="51" t="s">
        <v>53</v>
      </c>
      <c r="N15" s="52"/>
    </row>
    <row r="16" spans="1:14" s="25" customFormat="1">
      <c r="A16" s="97" t="s">
        <v>75</v>
      </c>
      <c r="B16" s="91" t="s">
        <v>76</v>
      </c>
      <c r="C16" s="23"/>
      <c r="D16" s="23"/>
      <c r="E16" s="23" t="s">
        <v>77</v>
      </c>
      <c r="F16" s="24"/>
      <c r="G16" s="108"/>
      <c r="H16" s="21"/>
      <c r="I16" s="21" t="s">
        <v>77</v>
      </c>
      <c r="J16" s="22"/>
      <c r="K16" s="118"/>
      <c r="L16" s="53"/>
      <c r="M16" s="54" t="s">
        <v>77</v>
      </c>
      <c r="N16" s="55"/>
    </row>
    <row r="17" spans="1:15" s="25" customFormat="1">
      <c r="A17" s="98" t="s">
        <v>78</v>
      </c>
      <c r="B17" s="92" t="s">
        <v>79</v>
      </c>
      <c r="C17" s="28"/>
      <c r="D17" s="28"/>
      <c r="E17" s="28" t="s">
        <v>77</v>
      </c>
      <c r="F17" s="29"/>
      <c r="G17" s="109"/>
      <c r="H17" s="26"/>
      <c r="I17" s="26" t="s">
        <v>77</v>
      </c>
      <c r="J17" s="27"/>
      <c r="K17" s="119"/>
      <c r="L17" s="56"/>
      <c r="M17" s="57" t="s">
        <v>77</v>
      </c>
      <c r="N17" s="58"/>
    </row>
    <row r="18" spans="1:15" s="25" customFormat="1" ht="17" thickBot="1">
      <c r="A18" s="99" t="s">
        <v>80</v>
      </c>
      <c r="B18" s="93" t="s">
        <v>81</v>
      </c>
      <c r="C18" s="32"/>
      <c r="D18" s="32"/>
      <c r="E18" s="32" t="s">
        <v>77</v>
      </c>
      <c r="F18" s="33"/>
      <c r="G18" s="110"/>
      <c r="H18" s="30"/>
      <c r="I18" s="30" t="s">
        <v>77</v>
      </c>
      <c r="J18" s="31"/>
      <c r="K18" s="120"/>
      <c r="L18" s="59"/>
      <c r="M18" s="60" t="s">
        <v>77</v>
      </c>
      <c r="N18" s="61"/>
    </row>
    <row r="19" spans="1:15">
      <c r="B19">
        <f>36000000/242495</f>
        <v>148.45666920967443</v>
      </c>
      <c r="C19">
        <f>B19*4.45</f>
        <v>660.63217798305129</v>
      </c>
    </row>
    <row r="20" spans="1:15">
      <c r="A20" t="s">
        <v>8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H20" t="s">
        <v>96</v>
      </c>
      <c r="I20" t="s">
        <v>97</v>
      </c>
      <c r="J20" t="s">
        <v>37</v>
      </c>
      <c r="L20" t="s">
        <v>98</v>
      </c>
      <c r="M20" t="s">
        <v>99</v>
      </c>
      <c r="N20" t="s">
        <v>100</v>
      </c>
      <c r="O20" t="s">
        <v>101</v>
      </c>
    </row>
    <row r="21" spans="1:15">
      <c r="A21">
        <v>0</v>
      </c>
      <c r="B21">
        <f>1.5*5/4.45</f>
        <v>1.6853932584269662</v>
      </c>
      <c r="C21">
        <v>0</v>
      </c>
      <c r="D21">
        <v>0</v>
      </c>
      <c r="E21">
        <v>0.38</v>
      </c>
      <c r="F21">
        <v>0.49</v>
      </c>
      <c r="H21">
        <v>1E-3</v>
      </c>
      <c r="I21">
        <v>0.1</v>
      </c>
      <c r="J21">
        <v>0.1</v>
      </c>
      <c r="L21">
        <v>1.7</v>
      </c>
      <c r="M21">
        <v>0.56999999999999995</v>
      </c>
      <c r="N21">
        <v>4.9999999999999998E-7</v>
      </c>
      <c r="O21">
        <v>8.0000000000000002E-3</v>
      </c>
    </row>
    <row r="22" spans="1:15">
      <c r="A22">
        <f>A21*200</f>
        <v>0</v>
      </c>
      <c r="B22">
        <f t="shared" ref="B22:F22" si="0">B21*200</f>
        <v>337.07865168539325</v>
      </c>
      <c r="C22">
        <f t="shared" si="0"/>
        <v>0</v>
      </c>
      <c r="D22">
        <f t="shared" si="0"/>
        <v>0</v>
      </c>
      <c r="E22">
        <f t="shared" si="0"/>
        <v>76</v>
      </c>
      <c r="F22">
        <f t="shared" si="0"/>
        <v>98</v>
      </c>
      <c r="H22">
        <f>H21*200</f>
        <v>0.2</v>
      </c>
      <c r="I22">
        <f>I21*200</f>
        <v>20</v>
      </c>
      <c r="J22">
        <f t="shared" ref="J22" si="1">J21*200</f>
        <v>20</v>
      </c>
      <c r="L22">
        <f t="shared" ref="L22" si="2">L21*200</f>
        <v>340</v>
      </c>
      <c r="M22">
        <f t="shared" ref="M22" si="3">M21*200</f>
        <v>113.99999999999999</v>
      </c>
      <c r="N22">
        <f t="shared" ref="N22" si="4">N21*200</f>
        <v>9.9999999999999991E-5</v>
      </c>
      <c r="O22">
        <f t="shared" ref="O22" si="5">O21*200</f>
        <v>1.6</v>
      </c>
    </row>
    <row r="24" spans="1:15">
      <c r="A24" s="101">
        <v>0</v>
      </c>
      <c r="B24">
        <v>0.69</v>
      </c>
      <c r="C24">
        <v>0</v>
      </c>
      <c r="D24">
        <v>0</v>
      </c>
      <c r="E24">
        <v>7.0000000000000001E-3</v>
      </c>
      <c r="F24">
        <v>2.4500000000000002</v>
      </c>
      <c r="H24">
        <v>1.4999999999999999E-2</v>
      </c>
      <c r="I24">
        <v>0.87</v>
      </c>
      <c r="J24">
        <f>4.45*0.18</f>
        <v>0.80100000000000005</v>
      </c>
      <c r="L24">
        <v>1.2999999999999999E-2</v>
      </c>
      <c r="M24">
        <v>3.5000000000000003E-2</v>
      </c>
      <c r="N24">
        <v>0.23</v>
      </c>
    </row>
    <row r="25" spans="1:15">
      <c r="A25" s="101">
        <f>A24*200</f>
        <v>0</v>
      </c>
      <c r="B25" s="101">
        <f t="shared" ref="B25:D25" si="6">B24*200</f>
        <v>138</v>
      </c>
      <c r="C25" s="101">
        <f t="shared" si="6"/>
        <v>0</v>
      </c>
      <c r="D25" s="101">
        <f t="shared" si="6"/>
        <v>0</v>
      </c>
      <c r="E25" s="101">
        <f t="shared" ref="E25" si="7">E24*200</f>
        <v>1.4000000000000001</v>
      </c>
      <c r="F25" s="101">
        <f t="shared" ref="F25" si="8">F24*200</f>
        <v>490.00000000000006</v>
      </c>
      <c r="G25" s="101"/>
      <c r="H25" s="101" t="s">
        <v>104</v>
      </c>
      <c r="I25" s="101">
        <f t="shared" ref="I25" si="9">I24*200</f>
        <v>174</v>
      </c>
      <c r="J25" s="101">
        <f t="shared" ref="J25" si="10">J24*200</f>
        <v>160.20000000000002</v>
      </c>
      <c r="K25" s="101"/>
      <c r="L25" s="101">
        <f t="shared" ref="L25" si="11">L24*200</f>
        <v>2.6</v>
      </c>
      <c r="M25" s="101">
        <f t="shared" ref="M25:N25" si="12">M24*200</f>
        <v>7.0000000000000009</v>
      </c>
      <c r="N25" s="101">
        <f t="shared" si="12"/>
        <v>46</v>
      </c>
    </row>
    <row r="26" spans="1:15">
      <c r="A26" s="101"/>
    </row>
    <row r="27" spans="1:15">
      <c r="A27">
        <f>20*10/4.45</f>
        <v>44.943820224719097</v>
      </c>
    </row>
    <row r="28" spans="1:15">
      <c r="A28">
        <f>80*25/4.45</f>
        <v>449.43820224719099</v>
      </c>
      <c r="C28">
        <f>(2.7+452)/2</f>
        <v>227.35</v>
      </c>
      <c r="D28">
        <f>152/4.45</f>
        <v>34.157303370786515</v>
      </c>
      <c r="E28">
        <f>D28*4.45</f>
        <v>152</v>
      </c>
    </row>
    <row r="31" spans="1:15">
      <c r="A31">
        <f>(0.31+1.2)/2</f>
        <v>0.755</v>
      </c>
    </row>
    <row r="34" spans="1:10">
      <c r="F34">
        <f>630-415</f>
        <v>215</v>
      </c>
    </row>
    <row r="35" spans="1:10">
      <c r="F35">
        <f>E36-E37</f>
        <v>185167.46411483258</v>
      </c>
    </row>
    <row r="36" spans="1:10">
      <c r="A36">
        <v>612500</v>
      </c>
      <c r="B36">
        <f>A36*B38</f>
        <v>580263.15789473685</v>
      </c>
      <c r="D36">
        <v>630000</v>
      </c>
      <c r="E36">
        <f>D36*F38</f>
        <v>542583.73205741635</v>
      </c>
    </row>
    <row r="37" spans="1:10">
      <c r="A37">
        <v>337500</v>
      </c>
      <c r="B37">
        <f>A37*B38</f>
        <v>319736.84210526315</v>
      </c>
      <c r="D37">
        <v>415000</v>
      </c>
      <c r="E37">
        <f>D37*F38</f>
        <v>357416.26794258377</v>
      </c>
    </row>
    <row r="38" spans="1:10">
      <c r="A38">
        <f>SUM(A36:A37)</f>
        <v>950000</v>
      </c>
      <c r="B38">
        <f>900000/A38</f>
        <v>0.94736842105263153</v>
      </c>
      <c r="D38">
        <v>1045000</v>
      </c>
      <c r="E38">
        <v>900000</v>
      </c>
      <c r="F38">
        <f>E38/D38</f>
        <v>0.86124401913875603</v>
      </c>
    </row>
    <row r="40" spans="1:10">
      <c r="A40">
        <f>A36/A38</f>
        <v>0.64473684210526316</v>
      </c>
      <c r="E40">
        <f>415/630</f>
        <v>0.65873015873015872</v>
      </c>
      <c r="H40">
        <v>475000</v>
      </c>
      <c r="I40">
        <f>H40/H42</f>
        <v>0.62913907284768211</v>
      </c>
      <c r="J40">
        <f>900000*I40</f>
        <v>566225.16556291387</v>
      </c>
    </row>
    <row r="41" spans="1:10">
      <c r="A41">
        <f>A37/A38</f>
        <v>0.35526315789473684</v>
      </c>
      <c r="E41">
        <f>E40*E36</f>
        <v>357416.26794258377</v>
      </c>
      <c r="H41">
        <v>280000</v>
      </c>
      <c r="I41">
        <f>H41/H42</f>
        <v>0.37086092715231789</v>
      </c>
      <c r="J41">
        <f>900000*I41</f>
        <v>333774.83443708607</v>
      </c>
    </row>
    <row r="42" spans="1:10">
      <c r="G42" s="62" t="s">
        <v>120</v>
      </c>
      <c r="H42">
        <f>SUM(H40:H41)</f>
        <v>755000</v>
      </c>
    </row>
    <row r="43" spans="1:10">
      <c r="D43">
        <f>630000/D38</f>
        <v>0.60287081339712922</v>
      </c>
      <c r="E43">
        <f>E38*D43</f>
        <v>542583.73205741635</v>
      </c>
    </row>
    <row r="44" spans="1:10">
      <c r="D44">
        <f>D37/D38</f>
        <v>0.39712918660287083</v>
      </c>
      <c r="E44">
        <f>E38*D44</f>
        <v>357416.26794258377</v>
      </c>
    </row>
    <row r="45" spans="1:10">
      <c r="A45" s="62" t="s">
        <v>117</v>
      </c>
      <c r="B45" s="62" t="s">
        <v>118</v>
      </c>
      <c r="C45" s="62" t="s">
        <v>119</v>
      </c>
    </row>
    <row r="46" spans="1:10">
      <c r="A46">
        <v>580263.15789473685</v>
      </c>
      <c r="B46">
        <v>542583.73205741635</v>
      </c>
      <c r="C46">
        <f>AVERAGE(A46:B46)</f>
        <v>561423.4449760766</v>
      </c>
    </row>
    <row r="47" spans="1:10">
      <c r="A47">
        <v>319736.84210526315</v>
      </c>
      <c r="B47">
        <v>357416.26794258377</v>
      </c>
      <c r="C47">
        <f>AVERAGE(A47:B47)</f>
        <v>338576.55502392346</v>
      </c>
    </row>
  </sheetData>
  <mergeCells count="4">
    <mergeCell ref="A1:A2"/>
    <mergeCell ref="B1:F1"/>
    <mergeCell ref="H1:J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16CC-ACC0-E14C-9305-F382ED614E4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67B6-A1A1-6349-BAEA-8C84F7A25D0A}">
  <dimension ref="A1:J7"/>
  <sheetViews>
    <sheetView workbookViewId="0">
      <selection activeCell="C4" sqref="C4"/>
    </sheetView>
  </sheetViews>
  <sheetFormatPr baseColWidth="10" defaultRowHeight="16"/>
  <cols>
    <col min="1" max="1" width="19" customWidth="1"/>
  </cols>
  <sheetData>
    <row r="1" spans="1:10">
      <c r="A1" s="62" t="s">
        <v>84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 t="s">
        <v>85</v>
      </c>
      <c r="C2">
        <v>30</v>
      </c>
      <c r="D2">
        <v>81</v>
      </c>
      <c r="E2">
        <v>81</v>
      </c>
      <c r="F2">
        <v>100</v>
      </c>
      <c r="G2">
        <v>100</v>
      </c>
      <c r="H2">
        <v>100</v>
      </c>
      <c r="I2">
        <v>140</v>
      </c>
      <c r="J2">
        <v>165</v>
      </c>
    </row>
    <row r="3" spans="1:10">
      <c r="A3" t="s">
        <v>86</v>
      </c>
      <c r="C3">
        <v>0</v>
      </c>
      <c r="D3">
        <v>0</v>
      </c>
      <c r="E3">
        <v>0</v>
      </c>
      <c r="F3">
        <v>0</v>
      </c>
      <c r="G3">
        <v>13</v>
      </c>
      <c r="H3">
        <v>13</v>
      </c>
      <c r="I3">
        <v>26</v>
      </c>
      <c r="J3">
        <v>14</v>
      </c>
    </row>
    <row r="4" spans="1:10">
      <c r="A4" t="s">
        <v>87</v>
      </c>
      <c r="C4">
        <v>77</v>
      </c>
      <c r="D4">
        <v>92</v>
      </c>
      <c r="E4">
        <v>116</v>
      </c>
      <c r="F4">
        <v>129</v>
      </c>
      <c r="G4">
        <v>264</v>
      </c>
      <c r="H4">
        <v>110</v>
      </c>
      <c r="I4">
        <v>93</v>
      </c>
      <c r="J4">
        <v>94</v>
      </c>
    </row>
    <row r="5" spans="1:10">
      <c r="A5" t="s">
        <v>88</v>
      </c>
      <c r="C5">
        <v>11</v>
      </c>
      <c r="D5">
        <v>13</v>
      </c>
      <c r="E5">
        <v>15</v>
      </c>
      <c r="F5">
        <v>17</v>
      </c>
      <c r="G5">
        <v>10</v>
      </c>
      <c r="H5">
        <v>10</v>
      </c>
      <c r="I5">
        <v>11</v>
      </c>
      <c r="J5">
        <v>10</v>
      </c>
    </row>
    <row r="6" spans="1:10" ht="17" thickBot="1">
      <c r="A6" t="s">
        <v>89</v>
      </c>
      <c r="C6">
        <v>35</v>
      </c>
      <c r="D6">
        <v>17</v>
      </c>
      <c r="E6">
        <v>22</v>
      </c>
      <c r="F6">
        <v>33</v>
      </c>
      <c r="G6">
        <v>6</v>
      </c>
      <c r="H6">
        <v>18</v>
      </c>
      <c r="I6">
        <v>9</v>
      </c>
      <c r="J6">
        <v>7</v>
      </c>
    </row>
    <row r="7" spans="1:10" ht="17" thickBot="1">
      <c r="A7" s="63" t="s">
        <v>90</v>
      </c>
      <c r="B7" s="64"/>
      <c r="C7" s="64">
        <f>SUM(C2:C5)</f>
        <v>118</v>
      </c>
      <c r="D7" s="64">
        <f t="shared" ref="D7:I7" si="0">SUM(D2:D5)</f>
        <v>186</v>
      </c>
      <c r="E7" s="64">
        <f t="shared" si="0"/>
        <v>212</v>
      </c>
      <c r="F7" s="64">
        <f t="shared" si="0"/>
        <v>246</v>
      </c>
      <c r="G7" s="64">
        <f t="shared" si="0"/>
        <v>387</v>
      </c>
      <c r="H7" s="64">
        <f t="shared" si="0"/>
        <v>233</v>
      </c>
      <c r="I7" s="64">
        <f t="shared" si="0"/>
        <v>270</v>
      </c>
      <c r="J7" s="64">
        <f>SUM(J2:J5)</f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nodesData</vt:lpstr>
      <vt:lpstr>Sheet3</vt:lpstr>
      <vt:lpstr>herbivoreNumbers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2020-08-17T14:13:06Z</dcterms:created>
  <dcterms:modified xsi:type="dcterms:W3CDTF">2020-09-08T14:59:18Z</dcterms:modified>
</cp:coreProperties>
</file>