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1.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2.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38.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16.xml" ContentType="application/vnd.openxmlformats-officedocument.spreadsheetml.worksheet+xml"/>
  <Override PartName="/xl/worksheets/sheet22.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27.xml" ContentType="application/vnd.openxmlformats-officedocument.spreadsheetml.worksheet+xml"/>
  <Override PartName="/xl/worksheets/sheet21.xml" ContentType="application/vnd.openxmlformats-officedocument.spreadsheetml.worksheet+xml"/>
  <Override PartName="/xl/worksheets/sheet23.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4.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4.xml" ContentType="application/vnd.openxmlformats-officedocument.spreadsheetml.externalLink+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PEB Confidential\Electricity_Allocation\2021-2030 Allocation\Allocation Calculations (Feb 2017 2nd 15-Day)\"/>
    </mc:Choice>
  </mc:AlternateContent>
  <bookViews>
    <workbookView xWindow="-168" yWindow="60" windowWidth="18852" windowHeight="11796" tabRatio="855"/>
  </bookViews>
  <sheets>
    <sheet name="Information" sheetId="94" r:id="rId1"/>
    <sheet name="Table 9-4" sheetId="76" r:id="rId2"/>
    <sheet name="Form 1.5a" sheetId="55" r:id="rId3"/>
    <sheet name="Form 1.1c" sheetId="28" r:id="rId4"/>
    <sheet name="Alameda" sheetId="82" r:id="rId5"/>
    <sheet name="Anza" sheetId="38" r:id="rId6"/>
    <sheet name="CCSF" sheetId="29" r:id="rId7"/>
    <sheet name="Anaheim" sheetId="8" r:id="rId8"/>
    <sheet name="Azusa" sheetId="33" r:id="rId9"/>
    <sheet name="Banning" sheetId="39" r:id="rId10"/>
    <sheet name="Biggs" sheetId="90" r:id="rId11"/>
    <sheet name="Burbank" sheetId="15" r:id="rId12"/>
    <sheet name="Cerritos" sheetId="44" r:id="rId13"/>
    <sheet name="Colton" sheetId="31" r:id="rId14"/>
    <sheet name="Corona" sheetId="36" r:id="rId15"/>
    <sheet name="Glendale" sheetId="16" r:id="rId16"/>
    <sheet name="Healdsburg" sheetId="87" r:id="rId17"/>
    <sheet name="Industry" sheetId="46" r:id="rId18"/>
    <sheet name="Lodi" sheetId="81" r:id="rId19"/>
    <sheet name="Lompoc" sheetId="84" r:id="rId20"/>
    <sheet name="MorenoValley" sheetId="40" r:id="rId21"/>
    <sheet name="Needles" sheetId="45" r:id="rId22"/>
    <sheet name="Oakland" sheetId="88" r:id="rId23"/>
    <sheet name="Palo Alto" sheetId="80" r:id="rId24"/>
    <sheet name="RanchoCucamonga" sheetId="42" r:id="rId25"/>
    <sheet name="Riverside" sheetId="11" r:id="rId26"/>
    <sheet name="Roseville" sheetId="18" r:id="rId27"/>
    <sheet name="ShastaLake" sheetId="34" r:id="rId28"/>
    <sheet name="Ukiah" sheetId="86" r:id="rId29"/>
    <sheet name="Vernon" sheetId="19" r:id="rId30"/>
    <sheet name="Victorville" sheetId="43" r:id="rId31"/>
    <sheet name="Eastside" sheetId="48" r:id="rId32"/>
    <sheet name="GoldenState" sheetId="72" r:id="rId33"/>
    <sheet name="Gridley" sheetId="89" r:id="rId34"/>
    <sheet name="ImperialID" sheetId="9" r:id="rId35"/>
    <sheet name="Kirkwood" sheetId="50" r:id="rId36"/>
    <sheet name="Lassen" sheetId="37" r:id="rId37"/>
    <sheet name="Liberty" sheetId="71" r:id="rId38"/>
    <sheet name="LADWP" sheetId="6" r:id="rId39"/>
    <sheet name="MercedID" sheetId="30" r:id="rId40"/>
    <sheet name="ModestoID" sheetId="2" r:id="rId41"/>
    <sheet name="PGE" sheetId="3" r:id="rId42"/>
    <sheet name="PacifiCorp" sheetId="79" r:id="rId43"/>
    <sheet name="Pasadena" sheetId="14" r:id="rId44"/>
    <sheet name="Pittsburg" sheetId="49" r:id="rId45"/>
    <sheet name="PlumasSierra" sheetId="83" r:id="rId46"/>
    <sheet name="PWRPA" sheetId="35" r:id="rId47"/>
    <sheet name="Redding" sheetId="17" r:id="rId48"/>
    <sheet name="SMUD" sheetId="7" r:id="rId49"/>
    <sheet name="SDGE" sheetId="5" r:id="rId50"/>
    <sheet name="SiliconValley" sheetId="10" r:id="rId51"/>
    <sheet name="SCE" sheetId="4" r:id="rId52"/>
    <sheet name="Stockton" sheetId="47" r:id="rId53"/>
    <sheet name="SurpriseValley" sheetId="41" r:id="rId54"/>
    <sheet name="TruckeeDonner" sheetId="32" r:id="rId55"/>
    <sheet name="TurlockID" sheetId="13" r:id="rId56"/>
    <sheet name="ValleyElectric" sheetId="51" r:id="rId57"/>
    <sheet name="WAPA" sheetId="58" r:id="rId58"/>
    <sheet name="#Vernon Data" sheetId="97" r:id="rId59"/>
  </sheets>
  <externalReferences>
    <externalReference r:id="rId60"/>
    <externalReference r:id="rId61"/>
    <externalReference r:id="rId62"/>
    <externalReference r:id="rId63"/>
    <externalReference r:id="rId64"/>
  </externalReferences>
  <definedNames>
    <definedName name="_foo1" localSheetId="4"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10"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33"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16"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0"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18"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19"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22"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42"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23"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45"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localSheetId="28"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1"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_foo2" localSheetId="4"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10"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33"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16"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0"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18"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19"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22"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42"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23"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45"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localSheetId="28"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2"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_foo3" localSheetId="4" hidden="1">{#N/A,#N/A,FALSE,"Res - Unadj";#N/A,#N/A,FALSE,"Small L&amp;P";#N/A,#N/A,FALSE,"Medium L&amp;P";#N/A,#N/A,FALSE,"E-19";#N/A,#N/A,FALSE,"E-20";#N/A,#N/A,FALSE,"A-RTP";#N/A,#N/A,FALSE,"Strtlts &amp; Standby";#N/A,#N/A,FALSE,"AG";#N/A,#N/A,FALSE,"2001mixeduse"}</definedName>
    <definedName name="_foo3" localSheetId="10" hidden="1">{#N/A,#N/A,FALSE,"Res - Unadj";#N/A,#N/A,FALSE,"Small L&amp;P";#N/A,#N/A,FALSE,"Medium L&amp;P";#N/A,#N/A,FALSE,"E-19";#N/A,#N/A,FALSE,"E-20";#N/A,#N/A,FALSE,"A-RTP";#N/A,#N/A,FALSE,"Strtlts &amp; Standby";#N/A,#N/A,FALSE,"AG";#N/A,#N/A,FALSE,"2001mixeduse"}</definedName>
    <definedName name="_foo3" localSheetId="33" hidden="1">{#N/A,#N/A,FALSE,"Res - Unadj";#N/A,#N/A,FALSE,"Small L&amp;P";#N/A,#N/A,FALSE,"Medium L&amp;P";#N/A,#N/A,FALSE,"E-19";#N/A,#N/A,FALSE,"E-20";#N/A,#N/A,FALSE,"A-RTP";#N/A,#N/A,FALSE,"Strtlts &amp; Standby";#N/A,#N/A,FALSE,"AG";#N/A,#N/A,FALSE,"2001mixeduse"}</definedName>
    <definedName name="_foo3" localSheetId="16" hidden="1">{#N/A,#N/A,FALSE,"Res - Unadj";#N/A,#N/A,FALSE,"Small L&amp;P";#N/A,#N/A,FALSE,"Medium L&amp;P";#N/A,#N/A,FALSE,"E-19";#N/A,#N/A,FALSE,"E-20";#N/A,#N/A,FALSE,"A-RTP";#N/A,#N/A,FALSE,"Strtlts &amp; Standby";#N/A,#N/A,FALSE,"AG";#N/A,#N/A,FALSE,"2001mixeduse"}</definedName>
    <definedName name="_foo3" localSheetId="0" hidden="1">{#N/A,#N/A,FALSE,"Res - Unadj";#N/A,#N/A,FALSE,"Small L&amp;P";#N/A,#N/A,FALSE,"Medium L&amp;P";#N/A,#N/A,FALSE,"E-19";#N/A,#N/A,FALSE,"E-20";#N/A,#N/A,FALSE,"A-RTP";#N/A,#N/A,FALSE,"Strtlts &amp; Standby";#N/A,#N/A,FALSE,"AG";#N/A,#N/A,FALSE,"2001mixeduse"}</definedName>
    <definedName name="_foo3" localSheetId="18" hidden="1">{#N/A,#N/A,FALSE,"Res - Unadj";#N/A,#N/A,FALSE,"Small L&amp;P";#N/A,#N/A,FALSE,"Medium L&amp;P";#N/A,#N/A,FALSE,"E-19";#N/A,#N/A,FALSE,"E-20";#N/A,#N/A,FALSE,"A-RTP";#N/A,#N/A,FALSE,"Strtlts &amp; Standby";#N/A,#N/A,FALSE,"AG";#N/A,#N/A,FALSE,"2001mixeduse"}</definedName>
    <definedName name="_foo3" localSheetId="19" hidden="1">{#N/A,#N/A,FALSE,"Res - Unadj";#N/A,#N/A,FALSE,"Small L&amp;P";#N/A,#N/A,FALSE,"Medium L&amp;P";#N/A,#N/A,FALSE,"E-19";#N/A,#N/A,FALSE,"E-20";#N/A,#N/A,FALSE,"A-RTP";#N/A,#N/A,FALSE,"Strtlts &amp; Standby";#N/A,#N/A,FALSE,"AG";#N/A,#N/A,FALSE,"2001mixeduse"}</definedName>
    <definedName name="_foo3" localSheetId="22" hidden="1">{#N/A,#N/A,FALSE,"Res - Unadj";#N/A,#N/A,FALSE,"Small L&amp;P";#N/A,#N/A,FALSE,"Medium L&amp;P";#N/A,#N/A,FALSE,"E-19";#N/A,#N/A,FALSE,"E-20";#N/A,#N/A,FALSE,"A-RTP";#N/A,#N/A,FALSE,"Strtlts &amp; Standby";#N/A,#N/A,FALSE,"AG";#N/A,#N/A,FALSE,"2001mixeduse"}</definedName>
    <definedName name="_foo3" localSheetId="42" hidden="1">{#N/A,#N/A,FALSE,"Res - Unadj";#N/A,#N/A,FALSE,"Small L&amp;P";#N/A,#N/A,FALSE,"Medium L&amp;P";#N/A,#N/A,FALSE,"E-19";#N/A,#N/A,FALSE,"E-20";#N/A,#N/A,FALSE,"A-RTP";#N/A,#N/A,FALSE,"Strtlts &amp; Standby";#N/A,#N/A,FALSE,"AG";#N/A,#N/A,FALSE,"2001mixeduse"}</definedName>
    <definedName name="_foo3" localSheetId="23" hidden="1">{#N/A,#N/A,FALSE,"Res - Unadj";#N/A,#N/A,FALSE,"Small L&amp;P";#N/A,#N/A,FALSE,"Medium L&amp;P";#N/A,#N/A,FALSE,"E-19";#N/A,#N/A,FALSE,"E-20";#N/A,#N/A,FALSE,"A-RTP";#N/A,#N/A,FALSE,"Strtlts &amp; Standby";#N/A,#N/A,FALSE,"AG";#N/A,#N/A,FALSE,"2001mixeduse"}</definedName>
    <definedName name="_foo3" localSheetId="45" hidden="1">{#N/A,#N/A,FALSE,"Res - Unadj";#N/A,#N/A,FALSE,"Small L&amp;P";#N/A,#N/A,FALSE,"Medium L&amp;P";#N/A,#N/A,FALSE,"E-19";#N/A,#N/A,FALSE,"E-20";#N/A,#N/A,FALSE,"A-RTP";#N/A,#N/A,FALSE,"Strtlts &amp; Standby";#N/A,#N/A,FALSE,"AG";#N/A,#N/A,FALSE,"2001mixeduse"}</definedName>
    <definedName name="_foo3" localSheetId="28" hidden="1">{#N/A,#N/A,FALSE,"Res - Unadj";#N/A,#N/A,FALSE,"Small L&amp;P";#N/A,#N/A,FALSE,"Medium L&amp;P";#N/A,#N/A,FALSE,"E-19";#N/A,#N/A,FALSE,"E-20";#N/A,#N/A,FALSE,"A-RTP";#N/A,#N/A,FALSE,"Strtlts &amp; Standby";#N/A,#N/A,FALSE,"AG";#N/A,#N/A,FALSE,"2001mixeduse"}</definedName>
    <definedName name="_foo3" hidden="1">{#N/A,#N/A,FALSE,"Res - Unadj";#N/A,#N/A,FALSE,"Small L&amp;P";#N/A,#N/A,FALSE,"Medium L&amp;P";#N/A,#N/A,FALSE,"E-19";#N/A,#N/A,FALSE,"E-20";#N/A,#N/A,FALSE,"A-RTP";#N/A,#N/A,FALSE,"Strtlts &amp; Standby";#N/A,#N/A,FALSE,"AG";#N/A,#N/A,FALSE,"2001mixeduse"}</definedName>
    <definedName name="_foo4" localSheetId="4" hidden="1">{"Summary","1",FALSE,"Summary"}</definedName>
    <definedName name="_foo4" localSheetId="10" hidden="1">{"Summary","1",FALSE,"Summary"}</definedName>
    <definedName name="_foo4" localSheetId="33" hidden="1">{"Summary","1",FALSE,"Summary"}</definedName>
    <definedName name="_foo4" localSheetId="16" hidden="1">{"Summary","1",FALSE,"Summary"}</definedName>
    <definedName name="_foo4" localSheetId="0" hidden="1">{"Summary","1",FALSE,"Summary"}</definedName>
    <definedName name="_foo4" localSheetId="18" hidden="1">{"Summary","1",FALSE,"Summary"}</definedName>
    <definedName name="_foo4" localSheetId="19" hidden="1">{"Summary","1",FALSE,"Summary"}</definedName>
    <definedName name="_foo4" localSheetId="22" hidden="1">{"Summary","1",FALSE,"Summary"}</definedName>
    <definedName name="_foo4" localSheetId="42" hidden="1">{"Summary","1",FALSE,"Summary"}</definedName>
    <definedName name="_foo4" localSheetId="23" hidden="1">{"Summary","1",FALSE,"Summary"}</definedName>
    <definedName name="_foo4" localSheetId="45" hidden="1">{"Summary","1",FALSE,"Summary"}</definedName>
    <definedName name="_foo4" localSheetId="28" hidden="1">{"Summary","1",FALSE,"Summary"}</definedName>
    <definedName name="_foo4" hidden="1">{"Summary","1",FALSE,"Summary"}</definedName>
    <definedName name="_Order1" hidden="1">255</definedName>
    <definedName name="_Order2" hidden="1">255</definedName>
    <definedName name="anscount" hidden="1">3</definedName>
    <definedName name="cf" localSheetId="4">#REF!</definedName>
    <definedName name="cf" localSheetId="10">#REF!</definedName>
    <definedName name="cf" localSheetId="2">#REF!</definedName>
    <definedName name="cf" localSheetId="33">#REF!</definedName>
    <definedName name="cf" localSheetId="16">#REF!</definedName>
    <definedName name="cf" localSheetId="18">#REF!</definedName>
    <definedName name="cf" localSheetId="19">#REF!</definedName>
    <definedName name="cf" localSheetId="22">#REF!</definedName>
    <definedName name="cf" localSheetId="42">#REF!</definedName>
    <definedName name="cf" localSheetId="23">#REF!</definedName>
    <definedName name="cf" localSheetId="45">#REF!</definedName>
    <definedName name="cf" localSheetId="1">#REF!</definedName>
    <definedName name="cf" localSheetId="28">#REF!</definedName>
    <definedName name="cf">#REF!</definedName>
    <definedName name="ComName">'[1]FormList&amp;FilerInfo'!$B$2</definedName>
    <definedName name="CoName" localSheetId="2">'[2]FormList&amp;FilerInfo'!$C$3</definedName>
    <definedName name="CoName">'[2]FormList&amp;FilerInfo'!$C$3</definedName>
    <definedName name="EarningsModel" localSheetId="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1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3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16"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1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1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2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4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2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45"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localSheetId="2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ings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foo" localSheetId="4"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10"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33"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16"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0"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18"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19"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22"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42"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23"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45"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localSheetId="28"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foo"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HTML_CodePage" hidden="1">1252</definedName>
    <definedName name="HTML_Control" localSheetId="4" hidden="1">{"'Summary'!$A$1:$J$24"}</definedName>
    <definedName name="HTML_Control" localSheetId="10" hidden="1">{"'Summary'!$A$1:$J$24"}</definedName>
    <definedName name="HTML_Control" localSheetId="33" hidden="1">{"'Summary'!$A$1:$J$24"}</definedName>
    <definedName name="HTML_Control" localSheetId="16" hidden="1">{"'Summary'!$A$1:$J$24"}</definedName>
    <definedName name="HTML_Control" localSheetId="0" hidden="1">{"'Summary'!$A$1:$J$24"}</definedName>
    <definedName name="HTML_Control" localSheetId="18" hidden="1">{"'Summary'!$A$1:$J$24"}</definedName>
    <definedName name="HTML_Control" localSheetId="19" hidden="1">{"'Summary'!$A$1:$J$24"}</definedName>
    <definedName name="HTML_Control" localSheetId="22" hidden="1">{"'Summary'!$A$1:$J$24"}</definedName>
    <definedName name="HTML_Control" localSheetId="42" hidden="1">{"'Summary'!$A$1:$J$24"}</definedName>
    <definedName name="HTML_Control" localSheetId="23" hidden="1">{"'Summary'!$A$1:$J$24"}</definedName>
    <definedName name="HTML_Control" localSheetId="45" hidden="1">{"'Summary'!$A$1:$J$24"}</definedName>
    <definedName name="HTML_Control" localSheetId="28" hidden="1">{"'Summary'!$A$1:$J$24"}</definedName>
    <definedName name="HTML_Control" hidden="1">{"'Summary'!$A$1:$J$24"}</definedName>
    <definedName name="HTML_Description" hidden="1">""</definedName>
    <definedName name="HTML_Email" hidden="1">""</definedName>
    <definedName name="HTML_Header" hidden="1">""</definedName>
    <definedName name="HTML_LastUpdate" hidden="1">"10/13/1999"</definedName>
    <definedName name="HTML_LineAfter" hidden="1">FALSE</definedName>
    <definedName name="HTML_LineBefore" hidden="1">FALSE</definedName>
    <definedName name="HTML_Name" hidden="1">"Sharim Chaudhury"</definedName>
    <definedName name="HTML_OBDlg2" hidden="1">TRUE</definedName>
    <definedName name="HTML_OBDlg4" hidden="1">TRUE</definedName>
    <definedName name="HTML_OS" hidden="1">0</definedName>
    <definedName name="HTML_PathFile" hidden="1">"W:\19991013\default.htm"</definedName>
    <definedName name="HTML_PathFileMac" hidden="1">"Web Site Backup:sitingcases:MyHTML.html"</definedName>
    <definedName name="HTML_Title" hidden="1">"Daily MTM  Report"</definedName>
    <definedName name="Jurisdictions">'[3]Other Lookups'!$B$37:$B$52</definedName>
    <definedName name="limcount" hidden="1">3</definedName>
    <definedName name="LSE">'[3]Other Lookups'!$F$20:$F$137</definedName>
    <definedName name="LSEENERGYFORTABLES" localSheetId="4">#REF!</definedName>
    <definedName name="LSEENERGYFORTABLES" localSheetId="10">#REF!</definedName>
    <definedName name="LSEENERGYFORTABLES" localSheetId="2">#REF!</definedName>
    <definedName name="LSEENERGYFORTABLES" localSheetId="33">#REF!</definedName>
    <definedName name="LSEENERGYFORTABLES" localSheetId="16">#REF!</definedName>
    <definedName name="LSEENERGYFORTABLES" localSheetId="18">#REF!</definedName>
    <definedName name="LSEENERGYFORTABLES" localSheetId="19">#REF!</definedName>
    <definedName name="LSEENERGYFORTABLES" localSheetId="22">#REF!</definedName>
    <definedName name="LSEENERGYFORTABLES" localSheetId="42">#REF!</definedName>
    <definedName name="LSEENERGYFORTABLES" localSheetId="23">#REF!</definedName>
    <definedName name="LSEENERGYFORTABLES" localSheetId="45">#REF!</definedName>
    <definedName name="LSEENERGYFORTABLES" localSheetId="1">#REF!</definedName>
    <definedName name="LSEENERGYFORTABLES" localSheetId="28">#REF!</definedName>
    <definedName name="LSEENERGYFORTABLES">#REF!</definedName>
    <definedName name="newname" localSheetId="4" hidden="1">{"Summary","1",FALSE,"Summary"}</definedName>
    <definedName name="newname" localSheetId="10" hidden="1">{"Summary","1",FALSE,"Summary"}</definedName>
    <definedName name="newname" localSheetId="33" hidden="1">{"Summary","1",FALSE,"Summary"}</definedName>
    <definedName name="newname" localSheetId="16" hidden="1">{"Summary","1",FALSE,"Summary"}</definedName>
    <definedName name="newname" localSheetId="0" hidden="1">{"Summary","1",FALSE,"Summary"}</definedName>
    <definedName name="newname" localSheetId="18" hidden="1">{"Summary","1",FALSE,"Summary"}</definedName>
    <definedName name="newname" localSheetId="19" hidden="1">{"Summary","1",FALSE,"Summary"}</definedName>
    <definedName name="newname" localSheetId="22" hidden="1">{"Summary","1",FALSE,"Summary"}</definedName>
    <definedName name="newname" localSheetId="42" hidden="1">{"Summary","1",FALSE,"Summary"}</definedName>
    <definedName name="newname" localSheetId="23" hidden="1">{"Summary","1",FALSE,"Summary"}</definedName>
    <definedName name="newname" localSheetId="45" hidden="1">{"Summary","1",FALSE,"Summary"}</definedName>
    <definedName name="newname" localSheetId="28" hidden="1">{"Summary","1",FALSE,"Summary"}</definedName>
    <definedName name="newname" hidden="1">{"Summary","1",FALSE,"Summary"}</definedName>
    <definedName name="Point">[4]POR.POD!$A$2:$A$900</definedName>
    <definedName name="Point2">[3]POR.POD!$C$6:$C$902</definedName>
    <definedName name="print" localSheetId="4">#REF!</definedName>
    <definedName name="print" localSheetId="10">#REF!</definedName>
    <definedName name="print" localSheetId="2">#REF!</definedName>
    <definedName name="print" localSheetId="33">#REF!</definedName>
    <definedName name="print" localSheetId="16">#REF!</definedName>
    <definedName name="print" localSheetId="18">#REF!</definedName>
    <definedName name="print" localSheetId="19">#REF!</definedName>
    <definedName name="print" localSheetId="22">#REF!</definedName>
    <definedName name="print" localSheetId="42">#REF!</definedName>
    <definedName name="print" localSheetId="23">#REF!</definedName>
    <definedName name="print" localSheetId="45">#REF!</definedName>
    <definedName name="print" localSheetId="1">#REF!</definedName>
    <definedName name="print" localSheetId="28">#REF!</definedName>
    <definedName name="print">#REF!</definedName>
    <definedName name="Relationship">'[3]Other Lookups'!$D$2:$D$7</definedName>
    <definedName name="SCALARS">[5]BApeakTable1in10!$A$93:$D$108</definedName>
    <definedName name="sencount" hidden="1">1</definedName>
    <definedName name="Wind" localSheetId="4" hidden="1">{#N/A,#N/A,FALSE,"Res - Unadj";#N/A,#N/A,FALSE,"Small L&amp;P";#N/A,#N/A,FALSE,"Medium L&amp;P";#N/A,#N/A,FALSE,"E-19";#N/A,#N/A,FALSE,"E-20";#N/A,#N/A,FALSE,"A-RTP";#N/A,#N/A,FALSE,"Strtlts &amp; Standby";#N/A,#N/A,FALSE,"AG";#N/A,#N/A,FALSE,"2001mixeduse"}</definedName>
    <definedName name="Wind" localSheetId="10" hidden="1">{#N/A,#N/A,FALSE,"Res - Unadj";#N/A,#N/A,FALSE,"Small L&amp;P";#N/A,#N/A,FALSE,"Medium L&amp;P";#N/A,#N/A,FALSE,"E-19";#N/A,#N/A,FALSE,"E-20";#N/A,#N/A,FALSE,"A-RTP";#N/A,#N/A,FALSE,"Strtlts &amp; Standby";#N/A,#N/A,FALSE,"AG";#N/A,#N/A,FALSE,"2001mixeduse"}</definedName>
    <definedName name="Wind" localSheetId="33" hidden="1">{#N/A,#N/A,FALSE,"Res - Unadj";#N/A,#N/A,FALSE,"Small L&amp;P";#N/A,#N/A,FALSE,"Medium L&amp;P";#N/A,#N/A,FALSE,"E-19";#N/A,#N/A,FALSE,"E-20";#N/A,#N/A,FALSE,"A-RTP";#N/A,#N/A,FALSE,"Strtlts &amp; Standby";#N/A,#N/A,FALSE,"AG";#N/A,#N/A,FALSE,"2001mixeduse"}</definedName>
    <definedName name="Wind" localSheetId="16" hidden="1">{#N/A,#N/A,FALSE,"Res - Unadj";#N/A,#N/A,FALSE,"Small L&amp;P";#N/A,#N/A,FALSE,"Medium L&amp;P";#N/A,#N/A,FALSE,"E-19";#N/A,#N/A,FALSE,"E-20";#N/A,#N/A,FALSE,"A-RTP";#N/A,#N/A,FALSE,"Strtlts &amp; Standby";#N/A,#N/A,FALSE,"AG";#N/A,#N/A,FALSE,"2001mixeduse"}</definedName>
    <definedName name="Wind" localSheetId="0" hidden="1">{#N/A,#N/A,FALSE,"Res - Unadj";#N/A,#N/A,FALSE,"Small L&amp;P";#N/A,#N/A,FALSE,"Medium L&amp;P";#N/A,#N/A,FALSE,"E-19";#N/A,#N/A,FALSE,"E-20";#N/A,#N/A,FALSE,"A-RTP";#N/A,#N/A,FALSE,"Strtlts &amp; Standby";#N/A,#N/A,FALSE,"AG";#N/A,#N/A,FALSE,"2001mixeduse"}</definedName>
    <definedName name="Wind" localSheetId="18" hidden="1">{#N/A,#N/A,FALSE,"Res - Unadj";#N/A,#N/A,FALSE,"Small L&amp;P";#N/A,#N/A,FALSE,"Medium L&amp;P";#N/A,#N/A,FALSE,"E-19";#N/A,#N/A,FALSE,"E-20";#N/A,#N/A,FALSE,"A-RTP";#N/A,#N/A,FALSE,"Strtlts &amp; Standby";#N/A,#N/A,FALSE,"AG";#N/A,#N/A,FALSE,"2001mixeduse"}</definedName>
    <definedName name="Wind" localSheetId="19" hidden="1">{#N/A,#N/A,FALSE,"Res - Unadj";#N/A,#N/A,FALSE,"Small L&amp;P";#N/A,#N/A,FALSE,"Medium L&amp;P";#N/A,#N/A,FALSE,"E-19";#N/A,#N/A,FALSE,"E-20";#N/A,#N/A,FALSE,"A-RTP";#N/A,#N/A,FALSE,"Strtlts &amp; Standby";#N/A,#N/A,FALSE,"AG";#N/A,#N/A,FALSE,"2001mixeduse"}</definedName>
    <definedName name="Wind" localSheetId="22" hidden="1">{#N/A,#N/A,FALSE,"Res - Unadj";#N/A,#N/A,FALSE,"Small L&amp;P";#N/A,#N/A,FALSE,"Medium L&amp;P";#N/A,#N/A,FALSE,"E-19";#N/A,#N/A,FALSE,"E-20";#N/A,#N/A,FALSE,"A-RTP";#N/A,#N/A,FALSE,"Strtlts &amp; Standby";#N/A,#N/A,FALSE,"AG";#N/A,#N/A,FALSE,"2001mixeduse"}</definedName>
    <definedName name="Wind" localSheetId="42" hidden="1">{#N/A,#N/A,FALSE,"Res - Unadj";#N/A,#N/A,FALSE,"Small L&amp;P";#N/A,#N/A,FALSE,"Medium L&amp;P";#N/A,#N/A,FALSE,"E-19";#N/A,#N/A,FALSE,"E-20";#N/A,#N/A,FALSE,"A-RTP";#N/A,#N/A,FALSE,"Strtlts &amp; Standby";#N/A,#N/A,FALSE,"AG";#N/A,#N/A,FALSE,"2001mixeduse"}</definedName>
    <definedName name="Wind" localSheetId="23" hidden="1">{#N/A,#N/A,FALSE,"Res - Unadj";#N/A,#N/A,FALSE,"Small L&amp;P";#N/A,#N/A,FALSE,"Medium L&amp;P";#N/A,#N/A,FALSE,"E-19";#N/A,#N/A,FALSE,"E-20";#N/A,#N/A,FALSE,"A-RTP";#N/A,#N/A,FALSE,"Strtlts &amp; Standby";#N/A,#N/A,FALSE,"AG";#N/A,#N/A,FALSE,"2001mixeduse"}</definedName>
    <definedName name="Wind" localSheetId="45" hidden="1">{#N/A,#N/A,FALSE,"Res - Unadj";#N/A,#N/A,FALSE,"Small L&amp;P";#N/A,#N/A,FALSE,"Medium L&amp;P";#N/A,#N/A,FALSE,"E-19";#N/A,#N/A,FALSE,"E-20";#N/A,#N/A,FALSE,"A-RTP";#N/A,#N/A,FALSE,"Strtlts &amp; Standby";#N/A,#N/A,FALSE,"AG";#N/A,#N/A,FALSE,"2001mixeduse"}</definedName>
    <definedName name="Wind" localSheetId="28" hidden="1">{#N/A,#N/A,FALSE,"Res - Unadj";#N/A,#N/A,FALSE,"Small L&amp;P";#N/A,#N/A,FALSE,"Medium L&amp;P";#N/A,#N/A,FALSE,"E-19";#N/A,#N/A,FALSE,"E-20";#N/A,#N/A,FALSE,"A-RTP";#N/A,#N/A,FALSE,"Strtlts &amp; Standby";#N/A,#N/A,FALSE,"AG";#N/A,#N/A,FALSE,"2001mixeduse"}</definedName>
    <definedName name="Wind" hidden="1">{#N/A,#N/A,FALSE,"Res - Unadj";#N/A,#N/A,FALSE,"Small L&amp;P";#N/A,#N/A,FALSE,"Medium L&amp;P";#N/A,#N/A,FALSE,"E-19";#N/A,#N/A,FALSE,"E-20";#N/A,#N/A,FALSE,"A-RTP";#N/A,#N/A,FALSE,"Strtlts &amp; Standby";#N/A,#N/A,FALSE,"AG";#N/A,#N/A,FALSE,"2001mixeduse"}</definedName>
    <definedName name="wrn.Print._.1_8." localSheetId="4"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10"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33"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16"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0"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18"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19"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22"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42"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23"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45"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localSheetId="28"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1_8." hidden="1">{"spreadsheet1-8","1",FALSE,"Scenarios 1-8";"spreadsheet1-8","2",FALSE,"Scenarios 1-8";"spreadsheet1-8","3",FALSE,"Scenarios 1-8";"spreadsheet1-8","4",FALSE,"Scenarios 1-8";"spreadsheet1-8","5",FALSE,"Scenarios 1-8";"spreadsheet1-8","6",FALSE,"Scenarios 1-8";"spreadsheet1-8","7",FALSE,"Scenarios 1-8";"spreadsheet1-8","8",FALSE,"Scenarios 1-8"}</definedName>
    <definedName name="wrn.Print._.9_16." localSheetId="4"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10"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33"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16"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0"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18"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19"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22"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42"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23"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45"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localSheetId="28"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9_16." hidden="1">{"Spreadsheet9-16","9",FALSE,"Scenarios 9-16";"Spreadsheet9-16","10",FALSE,"Scenarios 9-16";"Spreadsheet9-16","11",FALSE,"Scenarios 9-16";"Spreadsheet9-16","12",FALSE,"Scenarios 9-16";"Spreadsheet9-16","13",FALSE,"Scenarios 9-16";"Spreadsheet9-16","14",FALSE,"Scenarios 9-16";"Spreadsheet9-16","15",FALSE,"Scenarios 9-16";"Spreadsheet9-16","16",FALSE,"Scenarios 9-16"}</definedName>
    <definedName name="wrn.print._.out." localSheetId="4"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10"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33"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16"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0"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18"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19"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22"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42"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23"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45"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localSheetId="28"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print._.out." hidden="1">{#N/A,#N/A,FALSE,"Assumptions";#N/A,#N/A,FALSE,"RRQ inputs and toggles";#N/A,#N/A,FALSE,"Revenue Allocation Results";#N/A,#N/A,FALSE,"Table2";#N/A,#N/A,FALSE,"Distribution Revenue Allocation";#N/A,#N/A,FALSE,"FERC Rev @ PR";#N/A,#N/A,FALSE,"Public Purpose Program Allocate";#N/A,#N/A,FALSE,"CTC";#N/A,#N/A,FALSE,"UCS";#N/A,#N/A,FALSE,"Nuclear Decommissioning";#N/A,#N/A,FALSE,"FTA";#N/A,#N/A,FALSE,"RRB";#N/A,#N/A,FALSE,"Nonallocated Revenues";#N/A,#N/A,FALSE,"MC Revenues-01 sales, 96 MC's"}</definedName>
    <definedName name="wrn.schedules." localSheetId="4" hidden="1">{#N/A,#N/A,FALSE,"Res - Unadj";#N/A,#N/A,FALSE,"Small L&amp;P";#N/A,#N/A,FALSE,"Medium L&amp;P";#N/A,#N/A,FALSE,"E-19";#N/A,#N/A,FALSE,"E-20";#N/A,#N/A,FALSE,"A-RTP";#N/A,#N/A,FALSE,"Strtlts &amp; Standby";#N/A,#N/A,FALSE,"AG";#N/A,#N/A,FALSE,"2001mixeduse"}</definedName>
    <definedName name="wrn.schedules." localSheetId="10" hidden="1">{#N/A,#N/A,FALSE,"Res - Unadj";#N/A,#N/A,FALSE,"Small L&amp;P";#N/A,#N/A,FALSE,"Medium L&amp;P";#N/A,#N/A,FALSE,"E-19";#N/A,#N/A,FALSE,"E-20";#N/A,#N/A,FALSE,"A-RTP";#N/A,#N/A,FALSE,"Strtlts &amp; Standby";#N/A,#N/A,FALSE,"AG";#N/A,#N/A,FALSE,"2001mixeduse"}</definedName>
    <definedName name="wrn.schedules." localSheetId="33" hidden="1">{#N/A,#N/A,FALSE,"Res - Unadj";#N/A,#N/A,FALSE,"Small L&amp;P";#N/A,#N/A,FALSE,"Medium L&amp;P";#N/A,#N/A,FALSE,"E-19";#N/A,#N/A,FALSE,"E-20";#N/A,#N/A,FALSE,"A-RTP";#N/A,#N/A,FALSE,"Strtlts &amp; Standby";#N/A,#N/A,FALSE,"AG";#N/A,#N/A,FALSE,"2001mixeduse"}</definedName>
    <definedName name="wrn.schedules." localSheetId="16" hidden="1">{#N/A,#N/A,FALSE,"Res - Unadj";#N/A,#N/A,FALSE,"Small L&amp;P";#N/A,#N/A,FALSE,"Medium L&amp;P";#N/A,#N/A,FALSE,"E-19";#N/A,#N/A,FALSE,"E-20";#N/A,#N/A,FALSE,"A-RTP";#N/A,#N/A,FALSE,"Strtlts &amp; Standby";#N/A,#N/A,FALSE,"AG";#N/A,#N/A,FALSE,"2001mixeduse"}</definedName>
    <definedName name="wrn.schedules." localSheetId="0" hidden="1">{#N/A,#N/A,FALSE,"Res - Unadj";#N/A,#N/A,FALSE,"Small L&amp;P";#N/A,#N/A,FALSE,"Medium L&amp;P";#N/A,#N/A,FALSE,"E-19";#N/A,#N/A,FALSE,"E-20";#N/A,#N/A,FALSE,"A-RTP";#N/A,#N/A,FALSE,"Strtlts &amp; Standby";#N/A,#N/A,FALSE,"AG";#N/A,#N/A,FALSE,"2001mixeduse"}</definedName>
    <definedName name="wrn.schedules." localSheetId="18" hidden="1">{#N/A,#N/A,FALSE,"Res - Unadj";#N/A,#N/A,FALSE,"Small L&amp;P";#N/A,#N/A,FALSE,"Medium L&amp;P";#N/A,#N/A,FALSE,"E-19";#N/A,#N/A,FALSE,"E-20";#N/A,#N/A,FALSE,"A-RTP";#N/A,#N/A,FALSE,"Strtlts &amp; Standby";#N/A,#N/A,FALSE,"AG";#N/A,#N/A,FALSE,"2001mixeduse"}</definedName>
    <definedName name="wrn.schedules." localSheetId="19" hidden="1">{#N/A,#N/A,FALSE,"Res - Unadj";#N/A,#N/A,FALSE,"Small L&amp;P";#N/A,#N/A,FALSE,"Medium L&amp;P";#N/A,#N/A,FALSE,"E-19";#N/A,#N/A,FALSE,"E-20";#N/A,#N/A,FALSE,"A-RTP";#N/A,#N/A,FALSE,"Strtlts &amp; Standby";#N/A,#N/A,FALSE,"AG";#N/A,#N/A,FALSE,"2001mixeduse"}</definedName>
    <definedName name="wrn.schedules." localSheetId="22" hidden="1">{#N/A,#N/A,FALSE,"Res - Unadj";#N/A,#N/A,FALSE,"Small L&amp;P";#N/A,#N/A,FALSE,"Medium L&amp;P";#N/A,#N/A,FALSE,"E-19";#N/A,#N/A,FALSE,"E-20";#N/A,#N/A,FALSE,"A-RTP";#N/A,#N/A,FALSE,"Strtlts &amp; Standby";#N/A,#N/A,FALSE,"AG";#N/A,#N/A,FALSE,"2001mixeduse"}</definedName>
    <definedName name="wrn.schedules." localSheetId="42" hidden="1">{#N/A,#N/A,FALSE,"Res - Unadj";#N/A,#N/A,FALSE,"Small L&amp;P";#N/A,#N/A,FALSE,"Medium L&amp;P";#N/A,#N/A,FALSE,"E-19";#N/A,#N/A,FALSE,"E-20";#N/A,#N/A,FALSE,"A-RTP";#N/A,#N/A,FALSE,"Strtlts &amp; Standby";#N/A,#N/A,FALSE,"AG";#N/A,#N/A,FALSE,"2001mixeduse"}</definedName>
    <definedName name="wrn.schedules." localSheetId="23" hidden="1">{#N/A,#N/A,FALSE,"Res - Unadj";#N/A,#N/A,FALSE,"Small L&amp;P";#N/A,#N/A,FALSE,"Medium L&amp;P";#N/A,#N/A,FALSE,"E-19";#N/A,#N/A,FALSE,"E-20";#N/A,#N/A,FALSE,"A-RTP";#N/A,#N/A,FALSE,"Strtlts &amp; Standby";#N/A,#N/A,FALSE,"AG";#N/A,#N/A,FALSE,"2001mixeduse"}</definedName>
    <definedName name="wrn.schedules." localSheetId="45" hidden="1">{#N/A,#N/A,FALSE,"Res - Unadj";#N/A,#N/A,FALSE,"Small L&amp;P";#N/A,#N/A,FALSE,"Medium L&amp;P";#N/A,#N/A,FALSE,"E-19";#N/A,#N/A,FALSE,"E-20";#N/A,#N/A,FALSE,"A-RTP";#N/A,#N/A,FALSE,"Strtlts &amp; Standby";#N/A,#N/A,FALSE,"AG";#N/A,#N/A,FALSE,"2001mixeduse"}</definedName>
    <definedName name="wrn.schedules." localSheetId="28" hidden="1">{#N/A,#N/A,FALSE,"Res - Unadj";#N/A,#N/A,FALSE,"Small L&amp;P";#N/A,#N/A,FALSE,"Medium L&amp;P";#N/A,#N/A,FALSE,"E-19";#N/A,#N/A,FALSE,"E-20";#N/A,#N/A,FALSE,"A-RTP";#N/A,#N/A,FALSE,"Strtlts &amp; Standby";#N/A,#N/A,FALSE,"AG";#N/A,#N/A,FALSE,"2001mixeduse"}</definedName>
    <definedName name="wrn.schedules." hidden="1">{#N/A,#N/A,FALSE,"Res - Unadj";#N/A,#N/A,FALSE,"Small L&amp;P";#N/A,#N/A,FALSE,"Medium L&amp;P";#N/A,#N/A,FALSE,"E-19";#N/A,#N/A,FALSE,"E-20";#N/A,#N/A,FALSE,"A-RTP";#N/A,#N/A,FALSE,"Strtlts &amp; Standby";#N/A,#N/A,FALSE,"AG";#N/A,#N/A,FALSE,"2001mixeduse"}</definedName>
    <definedName name="wrn.sum1." localSheetId="4" hidden="1">{"Summary","1",FALSE,"Summary"}</definedName>
    <definedName name="wrn.sum1." localSheetId="10" hidden="1">{"Summary","1",FALSE,"Summary"}</definedName>
    <definedName name="wrn.sum1." localSheetId="33" hidden="1">{"Summary","1",FALSE,"Summary"}</definedName>
    <definedName name="wrn.sum1." localSheetId="16" hidden="1">{"Summary","1",FALSE,"Summary"}</definedName>
    <definedName name="wrn.sum1." localSheetId="0" hidden="1">{"Summary","1",FALSE,"Summary"}</definedName>
    <definedName name="wrn.sum1." localSheetId="18" hidden="1">{"Summary","1",FALSE,"Summary"}</definedName>
    <definedName name="wrn.sum1." localSheetId="19" hidden="1">{"Summary","1",FALSE,"Summary"}</definedName>
    <definedName name="wrn.sum1." localSheetId="22" hidden="1">{"Summary","1",FALSE,"Summary"}</definedName>
    <definedName name="wrn.sum1." localSheetId="42" hidden="1">{"Summary","1",FALSE,"Summary"}</definedName>
    <definedName name="wrn.sum1." localSheetId="23" hidden="1">{"Summary","1",FALSE,"Summary"}</definedName>
    <definedName name="wrn.sum1." localSheetId="45" hidden="1">{"Summary","1",FALSE,"Summary"}</definedName>
    <definedName name="wrn.sum1." localSheetId="28" hidden="1">{"Summary","1",FALSE,"Summary"}</definedName>
    <definedName name="wrn.sum1." hidden="1">{"Summary","1",FALSE,"Summary"}</definedName>
    <definedName name="wrn.Waterfall." localSheetId="4" hidden="1">{"Basedata_Print",#N/A,TRUE,"Basedata";#N/A,#N/A,TRUE,"Case A";#N/A,#N/A,TRUE,"Case B";#N/A,#N/A,TRUE,"Case A1";#N/A,#N/A,TRUE,"Net Margin";#N/A,#N/A,TRUE,"Description of Cases"}</definedName>
    <definedName name="wrn.Waterfall." localSheetId="10" hidden="1">{"Basedata_Print",#N/A,TRUE,"Basedata";#N/A,#N/A,TRUE,"Case A";#N/A,#N/A,TRUE,"Case B";#N/A,#N/A,TRUE,"Case A1";#N/A,#N/A,TRUE,"Net Margin";#N/A,#N/A,TRUE,"Description of Cases"}</definedName>
    <definedName name="wrn.Waterfall." localSheetId="33" hidden="1">{"Basedata_Print",#N/A,TRUE,"Basedata";#N/A,#N/A,TRUE,"Case A";#N/A,#N/A,TRUE,"Case B";#N/A,#N/A,TRUE,"Case A1";#N/A,#N/A,TRUE,"Net Margin";#N/A,#N/A,TRUE,"Description of Cases"}</definedName>
    <definedName name="wrn.Waterfall." localSheetId="16" hidden="1">{"Basedata_Print",#N/A,TRUE,"Basedata";#N/A,#N/A,TRUE,"Case A";#N/A,#N/A,TRUE,"Case B";#N/A,#N/A,TRUE,"Case A1";#N/A,#N/A,TRUE,"Net Margin";#N/A,#N/A,TRUE,"Description of Cases"}</definedName>
    <definedName name="wrn.Waterfall." localSheetId="0" hidden="1">{"Basedata_Print",#N/A,TRUE,"Basedata";#N/A,#N/A,TRUE,"Case A";#N/A,#N/A,TRUE,"Case B";#N/A,#N/A,TRUE,"Case A1";#N/A,#N/A,TRUE,"Net Margin";#N/A,#N/A,TRUE,"Description of Cases"}</definedName>
    <definedName name="wrn.Waterfall." localSheetId="18" hidden="1">{"Basedata_Print",#N/A,TRUE,"Basedata";#N/A,#N/A,TRUE,"Case A";#N/A,#N/A,TRUE,"Case B";#N/A,#N/A,TRUE,"Case A1";#N/A,#N/A,TRUE,"Net Margin";#N/A,#N/A,TRUE,"Description of Cases"}</definedName>
    <definedName name="wrn.Waterfall." localSheetId="19" hidden="1">{"Basedata_Print",#N/A,TRUE,"Basedata";#N/A,#N/A,TRUE,"Case A";#N/A,#N/A,TRUE,"Case B";#N/A,#N/A,TRUE,"Case A1";#N/A,#N/A,TRUE,"Net Margin";#N/A,#N/A,TRUE,"Description of Cases"}</definedName>
    <definedName name="wrn.Waterfall." localSheetId="22" hidden="1">{"Basedata_Print",#N/A,TRUE,"Basedata";#N/A,#N/A,TRUE,"Case A";#N/A,#N/A,TRUE,"Case B";#N/A,#N/A,TRUE,"Case A1";#N/A,#N/A,TRUE,"Net Margin";#N/A,#N/A,TRUE,"Description of Cases"}</definedName>
    <definedName name="wrn.Waterfall." localSheetId="42" hidden="1">{"Basedata_Print",#N/A,TRUE,"Basedata";#N/A,#N/A,TRUE,"Case A";#N/A,#N/A,TRUE,"Case B";#N/A,#N/A,TRUE,"Case A1";#N/A,#N/A,TRUE,"Net Margin";#N/A,#N/A,TRUE,"Description of Cases"}</definedName>
    <definedName name="wrn.Waterfall." localSheetId="23" hidden="1">{"Basedata_Print",#N/A,TRUE,"Basedata";#N/A,#N/A,TRUE,"Case A";#N/A,#N/A,TRUE,"Case B";#N/A,#N/A,TRUE,"Case A1";#N/A,#N/A,TRUE,"Net Margin";#N/A,#N/A,TRUE,"Description of Cases"}</definedName>
    <definedName name="wrn.Waterfall." localSheetId="45" hidden="1">{"Basedata_Print",#N/A,TRUE,"Basedata";#N/A,#N/A,TRUE,"Case A";#N/A,#N/A,TRUE,"Case B";#N/A,#N/A,TRUE,"Case A1";#N/A,#N/A,TRUE,"Net Margin";#N/A,#N/A,TRUE,"Description of Cases"}</definedName>
    <definedName name="wrn.Waterfall." localSheetId="28" hidden="1">{"Basedata_Print",#N/A,TRUE,"Basedata";#N/A,#N/A,TRUE,"Case A";#N/A,#N/A,TRUE,"Case B";#N/A,#N/A,TRUE,"Case A1";#N/A,#N/A,TRUE,"Net Margin";#N/A,#N/A,TRUE,"Description of Cases"}</definedName>
    <definedName name="wrn.Waterfall." hidden="1">{"Basedata_Print",#N/A,TRUE,"Basedata";#N/A,#N/A,TRUE,"Case A";#N/A,#N/A,TRUE,"Case B";#N/A,#N/A,TRUE,"Case A1";#N/A,#N/A,TRUE,"Net Margin";#N/A,#N/A,TRUE,"Description of Cases"}</definedName>
    <definedName name="wrn.workpapers." localSheetId="4" hidden="1">{#N/A,#N/A,FALSE,"Inputs And Assumptions";#N/A,#N/A,FALSE,"Revenue Allocation";#N/A,#N/A,FALSE,"RSP Surch Allocations";#N/A,#N/A,FALSE,"Generation Calculations";#N/A,#N/A,FALSE,"Test Year 2001 Sales and Revs."}</definedName>
    <definedName name="wrn.workpapers." localSheetId="10" hidden="1">{#N/A,#N/A,FALSE,"Inputs And Assumptions";#N/A,#N/A,FALSE,"Revenue Allocation";#N/A,#N/A,FALSE,"RSP Surch Allocations";#N/A,#N/A,FALSE,"Generation Calculations";#N/A,#N/A,FALSE,"Test Year 2001 Sales and Revs."}</definedName>
    <definedName name="wrn.workpapers." localSheetId="33" hidden="1">{#N/A,#N/A,FALSE,"Inputs And Assumptions";#N/A,#N/A,FALSE,"Revenue Allocation";#N/A,#N/A,FALSE,"RSP Surch Allocations";#N/A,#N/A,FALSE,"Generation Calculations";#N/A,#N/A,FALSE,"Test Year 2001 Sales and Revs."}</definedName>
    <definedName name="wrn.workpapers." localSheetId="16" hidden="1">{#N/A,#N/A,FALSE,"Inputs And Assumptions";#N/A,#N/A,FALSE,"Revenue Allocation";#N/A,#N/A,FALSE,"RSP Surch Allocations";#N/A,#N/A,FALSE,"Generation Calculations";#N/A,#N/A,FALSE,"Test Year 2001 Sales and Revs."}</definedName>
    <definedName name="wrn.workpapers." localSheetId="0" hidden="1">{#N/A,#N/A,FALSE,"Inputs And Assumptions";#N/A,#N/A,FALSE,"Revenue Allocation";#N/A,#N/A,FALSE,"RSP Surch Allocations";#N/A,#N/A,FALSE,"Generation Calculations";#N/A,#N/A,FALSE,"Test Year 2001 Sales and Revs."}</definedName>
    <definedName name="wrn.workpapers." localSheetId="18" hidden="1">{#N/A,#N/A,FALSE,"Inputs And Assumptions";#N/A,#N/A,FALSE,"Revenue Allocation";#N/A,#N/A,FALSE,"RSP Surch Allocations";#N/A,#N/A,FALSE,"Generation Calculations";#N/A,#N/A,FALSE,"Test Year 2001 Sales and Revs."}</definedName>
    <definedName name="wrn.workpapers." localSheetId="19" hidden="1">{#N/A,#N/A,FALSE,"Inputs And Assumptions";#N/A,#N/A,FALSE,"Revenue Allocation";#N/A,#N/A,FALSE,"RSP Surch Allocations";#N/A,#N/A,FALSE,"Generation Calculations";#N/A,#N/A,FALSE,"Test Year 2001 Sales and Revs."}</definedName>
    <definedName name="wrn.workpapers." localSheetId="22" hidden="1">{#N/A,#N/A,FALSE,"Inputs And Assumptions";#N/A,#N/A,FALSE,"Revenue Allocation";#N/A,#N/A,FALSE,"RSP Surch Allocations";#N/A,#N/A,FALSE,"Generation Calculations";#N/A,#N/A,FALSE,"Test Year 2001 Sales and Revs."}</definedName>
    <definedName name="wrn.workpapers." localSheetId="42" hidden="1">{#N/A,#N/A,FALSE,"Inputs And Assumptions";#N/A,#N/A,FALSE,"Revenue Allocation";#N/A,#N/A,FALSE,"RSP Surch Allocations";#N/A,#N/A,FALSE,"Generation Calculations";#N/A,#N/A,FALSE,"Test Year 2001 Sales and Revs."}</definedName>
    <definedName name="wrn.workpapers." localSheetId="23" hidden="1">{#N/A,#N/A,FALSE,"Inputs And Assumptions";#N/A,#N/A,FALSE,"Revenue Allocation";#N/A,#N/A,FALSE,"RSP Surch Allocations";#N/A,#N/A,FALSE,"Generation Calculations";#N/A,#N/A,FALSE,"Test Year 2001 Sales and Revs."}</definedName>
    <definedName name="wrn.workpapers." localSheetId="45" hidden="1">{#N/A,#N/A,FALSE,"Inputs And Assumptions";#N/A,#N/A,FALSE,"Revenue Allocation";#N/A,#N/A,FALSE,"RSP Surch Allocations";#N/A,#N/A,FALSE,"Generation Calculations";#N/A,#N/A,FALSE,"Test Year 2001 Sales and Revs."}</definedName>
    <definedName name="wrn.workpapers." localSheetId="28" hidden="1">{#N/A,#N/A,FALSE,"Inputs And Assumptions";#N/A,#N/A,FALSE,"Revenue Allocation";#N/A,#N/A,FALSE,"RSP Surch Allocations";#N/A,#N/A,FALSE,"Generation Calculations";#N/A,#N/A,FALSE,"Test Year 2001 Sales and Revs."}</definedName>
    <definedName name="wrn.workpapers." hidden="1">{#N/A,#N/A,FALSE,"Inputs And Assumptions";#N/A,#N/A,FALSE,"Revenue Allocation";#N/A,#N/A,FALSE,"RSP Surch Allocations";#N/A,#N/A,FALSE,"Generation Calculations";#N/A,#N/A,FALSE,"Test Year 2001 Sales and Revs."}</definedName>
    <definedName name="wrn2.waterfall" localSheetId="4" hidden="1">{"Basedata_Print",#N/A,TRUE,"Basedata";#N/A,#N/A,TRUE,"Case A";#N/A,#N/A,TRUE,"Case B";#N/A,#N/A,TRUE,"Case A1";#N/A,#N/A,TRUE,"Net Margin";#N/A,#N/A,TRUE,"Description of Cases"}</definedName>
    <definedName name="wrn2.waterfall" localSheetId="10" hidden="1">{"Basedata_Print",#N/A,TRUE,"Basedata";#N/A,#N/A,TRUE,"Case A";#N/A,#N/A,TRUE,"Case B";#N/A,#N/A,TRUE,"Case A1";#N/A,#N/A,TRUE,"Net Margin";#N/A,#N/A,TRUE,"Description of Cases"}</definedName>
    <definedName name="wrn2.waterfall" localSheetId="33" hidden="1">{"Basedata_Print",#N/A,TRUE,"Basedata";#N/A,#N/A,TRUE,"Case A";#N/A,#N/A,TRUE,"Case B";#N/A,#N/A,TRUE,"Case A1";#N/A,#N/A,TRUE,"Net Margin";#N/A,#N/A,TRUE,"Description of Cases"}</definedName>
    <definedName name="wrn2.waterfall" localSheetId="16" hidden="1">{"Basedata_Print",#N/A,TRUE,"Basedata";#N/A,#N/A,TRUE,"Case A";#N/A,#N/A,TRUE,"Case B";#N/A,#N/A,TRUE,"Case A1";#N/A,#N/A,TRUE,"Net Margin";#N/A,#N/A,TRUE,"Description of Cases"}</definedName>
    <definedName name="wrn2.waterfall" localSheetId="0" hidden="1">{"Basedata_Print",#N/A,TRUE,"Basedata";#N/A,#N/A,TRUE,"Case A";#N/A,#N/A,TRUE,"Case B";#N/A,#N/A,TRUE,"Case A1";#N/A,#N/A,TRUE,"Net Margin";#N/A,#N/A,TRUE,"Description of Cases"}</definedName>
    <definedName name="wrn2.waterfall" localSheetId="18" hidden="1">{"Basedata_Print",#N/A,TRUE,"Basedata";#N/A,#N/A,TRUE,"Case A";#N/A,#N/A,TRUE,"Case B";#N/A,#N/A,TRUE,"Case A1";#N/A,#N/A,TRUE,"Net Margin";#N/A,#N/A,TRUE,"Description of Cases"}</definedName>
    <definedName name="wrn2.waterfall" localSheetId="19" hidden="1">{"Basedata_Print",#N/A,TRUE,"Basedata";#N/A,#N/A,TRUE,"Case A";#N/A,#N/A,TRUE,"Case B";#N/A,#N/A,TRUE,"Case A1";#N/A,#N/A,TRUE,"Net Margin";#N/A,#N/A,TRUE,"Description of Cases"}</definedName>
    <definedName name="wrn2.waterfall" localSheetId="22" hidden="1">{"Basedata_Print",#N/A,TRUE,"Basedata";#N/A,#N/A,TRUE,"Case A";#N/A,#N/A,TRUE,"Case B";#N/A,#N/A,TRUE,"Case A1";#N/A,#N/A,TRUE,"Net Margin";#N/A,#N/A,TRUE,"Description of Cases"}</definedName>
    <definedName name="wrn2.waterfall" localSheetId="42" hidden="1">{"Basedata_Print",#N/A,TRUE,"Basedata";#N/A,#N/A,TRUE,"Case A";#N/A,#N/A,TRUE,"Case B";#N/A,#N/A,TRUE,"Case A1";#N/A,#N/A,TRUE,"Net Margin";#N/A,#N/A,TRUE,"Description of Cases"}</definedName>
    <definedName name="wrn2.waterfall" localSheetId="23" hidden="1">{"Basedata_Print",#N/A,TRUE,"Basedata";#N/A,#N/A,TRUE,"Case A";#N/A,#N/A,TRUE,"Case B";#N/A,#N/A,TRUE,"Case A1";#N/A,#N/A,TRUE,"Net Margin";#N/A,#N/A,TRUE,"Description of Cases"}</definedName>
    <definedName name="wrn2.waterfall" localSheetId="45" hidden="1">{"Basedata_Print",#N/A,TRUE,"Basedata";#N/A,#N/A,TRUE,"Case A";#N/A,#N/A,TRUE,"Case B";#N/A,#N/A,TRUE,"Case A1";#N/A,#N/A,TRUE,"Net Margin";#N/A,#N/A,TRUE,"Description of Cases"}</definedName>
    <definedName name="wrn2.waterfall" localSheetId="28" hidden="1">{"Basedata_Print",#N/A,TRUE,"Basedata";#N/A,#N/A,TRUE,"Case A";#N/A,#N/A,TRUE,"Case B";#N/A,#N/A,TRUE,"Case A1";#N/A,#N/A,TRUE,"Net Margin";#N/A,#N/A,TRUE,"Description of Cases"}</definedName>
    <definedName name="wrn2.waterfall" hidden="1">{"Basedata_Print",#N/A,TRUE,"Basedata";#N/A,#N/A,TRUE,"Case A";#N/A,#N/A,TRUE,"Case B";#N/A,#N/A,TRUE,"Case A1";#N/A,#N/A,TRUE,"Net Margin";#N/A,#N/A,TRUE,"Description of Cases"}</definedName>
    <definedName name="xx" localSheetId="4">#REF!</definedName>
    <definedName name="xx" localSheetId="10">#REF!</definedName>
    <definedName name="xx" localSheetId="2">#REF!</definedName>
    <definedName name="xx" localSheetId="33">#REF!</definedName>
    <definedName name="xx" localSheetId="16">#REF!</definedName>
    <definedName name="xx" localSheetId="18">#REF!</definedName>
    <definedName name="xx" localSheetId="19">#REF!</definedName>
    <definedName name="xx" localSheetId="22">#REF!</definedName>
    <definedName name="xx" localSheetId="42">#REF!</definedName>
    <definedName name="xx" localSheetId="23">#REF!</definedName>
    <definedName name="xx" localSheetId="45">#REF!</definedName>
    <definedName name="xx" localSheetId="1">#REF!</definedName>
    <definedName name="xx" localSheetId="28">#REF!</definedName>
    <definedName name="xx">#REF!</definedName>
  </definedNames>
  <calcPr calcId="152511"/>
</workbook>
</file>

<file path=xl/calcChain.xml><?xml version="1.0" encoding="utf-8"?>
<calcChain xmlns="http://schemas.openxmlformats.org/spreadsheetml/2006/main">
  <c r="B11" i="8" l="1"/>
  <c r="C11" i="8"/>
  <c r="D11" i="8"/>
  <c r="E11" i="8"/>
  <c r="F11" i="8"/>
  <c r="G11" i="8"/>
  <c r="D11" i="14"/>
  <c r="C6" i="79"/>
  <c r="D6" i="79"/>
  <c r="E6" i="79"/>
  <c r="F6" i="79"/>
  <c r="G6" i="79"/>
  <c r="H6" i="79"/>
  <c r="I6" i="79"/>
  <c r="J6" i="79"/>
  <c r="K6" i="79"/>
  <c r="B6" i="79"/>
  <c r="D7" i="79" l="1"/>
  <c r="C7" i="79"/>
  <c r="B7" i="79"/>
  <c r="B26" i="97" l="1"/>
  <c r="B25" i="97"/>
  <c r="B24" i="97"/>
  <c r="B12" i="97" l="1"/>
  <c r="B14" i="97" s="1"/>
  <c r="B3" i="97" s="1"/>
  <c r="F27" i="97"/>
  <c r="F29" i="97" s="1"/>
  <c r="B27" i="97" l="1"/>
  <c r="B28" i="97" s="1"/>
  <c r="B32" i="97" s="1"/>
  <c r="B4" i="97" s="1"/>
  <c r="B5" i="97" s="1"/>
  <c r="B4" i="82" l="1"/>
  <c r="C4" i="82"/>
  <c r="D4" i="82"/>
  <c r="E4" i="82"/>
  <c r="F4" i="82"/>
  <c r="G4" i="82"/>
  <c r="B3" i="29"/>
  <c r="C3" i="29"/>
  <c r="D3" i="29"/>
  <c r="E3" i="29"/>
  <c r="B4" i="29"/>
  <c r="C4" i="29"/>
  <c r="D4" i="29"/>
  <c r="E4" i="29"/>
  <c r="F4" i="29"/>
  <c r="G4" i="29"/>
  <c r="B3" i="8"/>
  <c r="C3" i="8"/>
  <c r="D3" i="8"/>
  <c r="E3" i="8"/>
  <c r="F3" i="8"/>
  <c r="G3" i="8"/>
  <c r="B4" i="8"/>
  <c r="C4" i="8"/>
  <c r="D4" i="8"/>
  <c r="E4" i="8"/>
  <c r="F4" i="8"/>
  <c r="G4" i="8"/>
  <c r="B4" i="33"/>
  <c r="C4" i="33"/>
  <c r="D4" i="33"/>
  <c r="E4" i="33"/>
  <c r="F4" i="33"/>
  <c r="G4" i="33"/>
  <c r="B4" i="39"/>
  <c r="C4" i="39"/>
  <c r="D4" i="39"/>
  <c r="E4" i="39"/>
  <c r="F4" i="39"/>
  <c r="G4" i="39"/>
  <c r="B4" i="90"/>
  <c r="C4" i="90"/>
  <c r="D4" i="90"/>
  <c r="E4" i="90"/>
  <c r="F4" i="90"/>
  <c r="G4" i="90"/>
  <c r="B3" i="15"/>
  <c r="C3" i="15"/>
  <c r="D3" i="15"/>
  <c r="E3" i="15"/>
  <c r="F3" i="15"/>
  <c r="G3" i="15"/>
  <c r="B4" i="15"/>
  <c r="C4" i="15"/>
  <c r="D4" i="15"/>
  <c r="E4" i="15"/>
  <c r="F4" i="15"/>
  <c r="G4" i="15"/>
  <c r="B4" i="44"/>
  <c r="C4" i="44"/>
  <c r="D4" i="44"/>
  <c r="E4" i="44"/>
  <c r="F4" i="44"/>
  <c r="G4" i="44"/>
  <c r="B4" i="31"/>
  <c r="C4" i="31"/>
  <c r="D4" i="31"/>
  <c r="E4" i="31"/>
  <c r="F4" i="31"/>
  <c r="G4" i="31"/>
  <c r="B4" i="36"/>
  <c r="C4" i="36"/>
  <c r="D4" i="36"/>
  <c r="E4" i="36"/>
  <c r="F4" i="36"/>
  <c r="G4" i="36"/>
  <c r="B4" i="16"/>
  <c r="C4" i="16"/>
  <c r="D4" i="16"/>
  <c r="E4" i="16"/>
  <c r="F4" i="16"/>
  <c r="G4" i="16"/>
  <c r="B4" i="87"/>
  <c r="C4" i="87"/>
  <c r="D4" i="87"/>
  <c r="E4" i="87"/>
  <c r="F4" i="87"/>
  <c r="G4" i="87"/>
  <c r="B4" i="81"/>
  <c r="C4" i="81"/>
  <c r="D4" i="81"/>
  <c r="E4" i="81"/>
  <c r="F4" i="81"/>
  <c r="G4" i="81"/>
  <c r="B4" i="84"/>
  <c r="C4" i="84"/>
  <c r="D4" i="84"/>
  <c r="E4" i="84"/>
  <c r="F4" i="84"/>
  <c r="G4" i="84"/>
  <c r="B4" i="40"/>
  <c r="C4" i="40"/>
  <c r="D4" i="40"/>
  <c r="E4" i="40"/>
  <c r="F4" i="40"/>
  <c r="G4" i="40"/>
  <c r="B4" i="45"/>
  <c r="C4" i="45"/>
  <c r="D4" i="45"/>
  <c r="E4" i="45"/>
  <c r="F4" i="45"/>
  <c r="G4" i="45"/>
  <c r="B4" i="88"/>
  <c r="C4" i="88"/>
  <c r="D4" i="88"/>
  <c r="E4" i="88"/>
  <c r="F4" i="88"/>
  <c r="G4" i="88"/>
  <c r="B4" i="80"/>
  <c r="C4" i="80"/>
  <c r="D4" i="80"/>
  <c r="E4" i="80"/>
  <c r="F4" i="80"/>
  <c r="G4" i="80"/>
  <c r="B4" i="42"/>
  <c r="C4" i="42"/>
  <c r="D4" i="42"/>
  <c r="E4" i="42"/>
  <c r="F4" i="42"/>
  <c r="G4" i="42"/>
  <c r="B5" i="45" l="1"/>
  <c r="B5" i="10"/>
  <c r="C5" i="29"/>
  <c r="D5" i="29"/>
  <c r="E5" i="29"/>
  <c r="C5" i="8"/>
  <c r="D5" i="8"/>
  <c r="E5" i="8"/>
  <c r="F5" i="8"/>
  <c r="G5" i="8"/>
  <c r="C5" i="15"/>
  <c r="D5" i="15"/>
  <c r="E5" i="15"/>
  <c r="F5" i="15"/>
  <c r="G5" i="15"/>
  <c r="C5" i="16"/>
  <c r="D5" i="16"/>
  <c r="E5" i="16"/>
  <c r="F5" i="16"/>
  <c r="G5" i="16"/>
  <c r="C5" i="87"/>
  <c r="D5" i="87"/>
  <c r="E5" i="87"/>
  <c r="F5" i="87"/>
  <c r="G5" i="87"/>
  <c r="C5" i="19"/>
  <c r="D5" i="19"/>
  <c r="E5" i="19"/>
  <c r="F5" i="19"/>
  <c r="G5" i="19"/>
  <c r="B5" i="38"/>
  <c r="B5" i="29"/>
  <c r="B5" i="8"/>
  <c r="B5" i="33"/>
  <c r="B5" i="15"/>
  <c r="B5" i="44"/>
  <c r="B5" i="31"/>
  <c r="B5" i="36"/>
  <c r="B5" i="16"/>
  <c r="B5" i="87"/>
  <c r="B5" i="19"/>
  <c r="F7" i="3" l="1"/>
  <c r="B3" i="5" l="1"/>
  <c r="G3" i="79" l="1"/>
  <c r="H3" i="79" s="1"/>
  <c r="I3" i="79" s="1"/>
  <c r="J3" i="79" s="1"/>
  <c r="K3" i="79" s="1"/>
  <c r="C8" i="4" l="1"/>
  <c r="D8" i="4" s="1"/>
  <c r="E8" i="4" s="1"/>
  <c r="F8" i="4" s="1"/>
  <c r="G8" i="4" s="1"/>
  <c r="H8" i="4" s="1"/>
  <c r="I8" i="4" s="1"/>
  <c r="J8" i="4" s="1"/>
  <c r="K8" i="4" s="1"/>
  <c r="C7" i="4"/>
  <c r="D7" i="4" s="1"/>
  <c r="E7" i="4" s="1"/>
  <c r="F7" i="4" s="1"/>
  <c r="G7" i="4" s="1"/>
  <c r="H7" i="4" s="1"/>
  <c r="I7" i="4" s="1"/>
  <c r="J7" i="4" s="1"/>
  <c r="K7" i="4" s="1"/>
  <c r="C8" i="58" l="1"/>
  <c r="D8" i="58" s="1"/>
  <c r="E8" i="58" s="1"/>
  <c r="F8" i="58" s="1"/>
  <c r="G8" i="58" s="1"/>
  <c r="H8" i="58" s="1"/>
  <c r="I8" i="58" s="1"/>
  <c r="J8" i="58" s="1"/>
  <c r="K8" i="58" s="1"/>
  <c r="N5" i="58"/>
  <c r="N4" i="58"/>
  <c r="G4" i="58"/>
  <c r="F4" i="58"/>
  <c r="E4" i="58"/>
  <c r="D4" i="58"/>
  <c r="C4" i="58"/>
  <c r="B4" i="58"/>
  <c r="G3" i="58"/>
  <c r="G5" i="58" s="1"/>
  <c r="F3" i="58"/>
  <c r="E3" i="58"/>
  <c r="D3" i="58"/>
  <c r="D5" i="58" s="1"/>
  <c r="C3" i="58"/>
  <c r="C5" i="58" s="1"/>
  <c r="B3" i="58"/>
  <c r="C8" i="51"/>
  <c r="D8" i="51" s="1"/>
  <c r="E8" i="51" s="1"/>
  <c r="F8" i="51" s="1"/>
  <c r="G8" i="51" s="1"/>
  <c r="H8" i="51" s="1"/>
  <c r="I8" i="51" s="1"/>
  <c r="J8" i="51" s="1"/>
  <c r="K8" i="51" s="1"/>
  <c r="N4" i="51"/>
  <c r="G4" i="51"/>
  <c r="F4" i="51"/>
  <c r="E4" i="51"/>
  <c r="D4" i="51"/>
  <c r="C4" i="51"/>
  <c r="B4" i="51"/>
  <c r="G3" i="51"/>
  <c r="F3" i="51"/>
  <c r="F5" i="51" s="1"/>
  <c r="E3" i="51"/>
  <c r="D3" i="51"/>
  <c r="D5" i="51" s="1"/>
  <c r="C3" i="51"/>
  <c r="B3" i="51"/>
  <c r="B5" i="51" s="1"/>
  <c r="N5" i="13"/>
  <c r="N4" i="13"/>
  <c r="G4" i="13"/>
  <c r="F4" i="13"/>
  <c r="E4" i="13"/>
  <c r="D4" i="13"/>
  <c r="C4" i="13"/>
  <c r="B4" i="13"/>
  <c r="G3" i="13"/>
  <c r="G5" i="13" s="1"/>
  <c r="F3" i="13"/>
  <c r="F5" i="13" s="1"/>
  <c r="E3" i="13"/>
  <c r="D3" i="13"/>
  <c r="C3" i="13"/>
  <c r="C5" i="13" s="1"/>
  <c r="B3" i="13"/>
  <c r="B5" i="13" s="1"/>
  <c r="B10" i="13" s="1"/>
  <c r="N5" i="32"/>
  <c r="N4" i="32"/>
  <c r="G4" i="32"/>
  <c r="F4" i="32"/>
  <c r="E4" i="32"/>
  <c r="D4" i="32"/>
  <c r="C4" i="32"/>
  <c r="B4" i="32"/>
  <c r="B5" i="32" s="1"/>
  <c r="C8" i="41"/>
  <c r="D8" i="41" s="1"/>
  <c r="E8" i="41" s="1"/>
  <c r="F8" i="41" s="1"/>
  <c r="G8" i="41" s="1"/>
  <c r="H8" i="41" s="1"/>
  <c r="I8" i="41" s="1"/>
  <c r="J8" i="41" s="1"/>
  <c r="K8" i="41" s="1"/>
  <c r="N5" i="41"/>
  <c r="N4" i="41"/>
  <c r="G4" i="41"/>
  <c r="F4" i="41"/>
  <c r="E4" i="41"/>
  <c r="D4" i="41"/>
  <c r="C4" i="41"/>
  <c r="B4" i="41"/>
  <c r="B5" i="41" s="1"/>
  <c r="C3" i="41"/>
  <c r="C8" i="47"/>
  <c r="D8" i="47" s="1"/>
  <c r="E8" i="47" s="1"/>
  <c r="F8" i="47" s="1"/>
  <c r="G8" i="47" s="1"/>
  <c r="H8" i="47" s="1"/>
  <c r="I8" i="47" s="1"/>
  <c r="J8" i="47" s="1"/>
  <c r="K8" i="47" s="1"/>
  <c r="N5" i="47"/>
  <c r="N4" i="47"/>
  <c r="G4" i="47"/>
  <c r="F4" i="47"/>
  <c r="E4" i="47"/>
  <c r="D4" i="47"/>
  <c r="C4" i="47"/>
  <c r="B4" i="47"/>
  <c r="B5" i="47" s="1"/>
  <c r="C3" i="47"/>
  <c r="N5" i="4"/>
  <c r="N4" i="4"/>
  <c r="G4" i="4"/>
  <c r="F4" i="4"/>
  <c r="E4" i="4"/>
  <c r="D4" i="4"/>
  <c r="C4" i="4"/>
  <c r="B4" i="4"/>
  <c r="G3" i="4"/>
  <c r="F3" i="4"/>
  <c r="E3" i="4"/>
  <c r="E5" i="4" s="1"/>
  <c r="D3" i="4"/>
  <c r="D5" i="4" s="1"/>
  <c r="C3" i="4"/>
  <c r="B3" i="4"/>
  <c r="C3" i="10"/>
  <c r="N5" i="10"/>
  <c r="N4" i="10"/>
  <c r="C4" i="10"/>
  <c r="D4" i="10" s="1"/>
  <c r="N5" i="5"/>
  <c r="N4" i="5"/>
  <c r="G4" i="5"/>
  <c r="F4" i="5"/>
  <c r="E4" i="5"/>
  <c r="D4" i="5"/>
  <c r="C4" i="5"/>
  <c r="B4" i="5"/>
  <c r="B5" i="5" s="1"/>
  <c r="G3" i="5"/>
  <c r="G5" i="5" s="1"/>
  <c r="F3" i="5"/>
  <c r="E3" i="5"/>
  <c r="D3" i="5"/>
  <c r="D5" i="5" s="1"/>
  <c r="C3" i="5"/>
  <c r="N5" i="7"/>
  <c r="N4" i="7"/>
  <c r="G4" i="7"/>
  <c r="F4" i="7"/>
  <c r="E4" i="7"/>
  <c r="D4" i="7"/>
  <c r="C4" i="7"/>
  <c r="B4" i="7"/>
  <c r="G3" i="7"/>
  <c r="G5" i="7" s="1"/>
  <c r="F3" i="7"/>
  <c r="E3" i="7"/>
  <c r="E5" i="7" s="1"/>
  <c r="D3" i="7"/>
  <c r="C3" i="7"/>
  <c r="C5" i="7" s="1"/>
  <c r="B3" i="7"/>
  <c r="N5" i="17"/>
  <c r="N4" i="17"/>
  <c r="G4" i="17"/>
  <c r="F4" i="17"/>
  <c r="E4" i="17"/>
  <c r="D4" i="17"/>
  <c r="C4" i="17"/>
  <c r="B4" i="17"/>
  <c r="G3" i="17"/>
  <c r="F3" i="17"/>
  <c r="F5" i="17" s="1"/>
  <c r="E3" i="17"/>
  <c r="E5" i="17" s="1"/>
  <c r="D3" i="17"/>
  <c r="C3" i="17"/>
  <c r="B3" i="17"/>
  <c r="B5" i="17" s="1"/>
  <c r="C8" i="35"/>
  <c r="D8" i="35" s="1"/>
  <c r="E8" i="35" s="1"/>
  <c r="F8" i="35" s="1"/>
  <c r="G8" i="35" s="1"/>
  <c r="H8" i="35" s="1"/>
  <c r="I8" i="35" s="1"/>
  <c r="J8" i="35" s="1"/>
  <c r="K8" i="35" s="1"/>
  <c r="N5" i="35"/>
  <c r="B4" i="35" s="1"/>
  <c r="B5" i="35" s="1"/>
  <c r="N4" i="35"/>
  <c r="C3" i="35"/>
  <c r="N5" i="83"/>
  <c r="N4" i="83"/>
  <c r="G4" i="83"/>
  <c r="G5" i="83" s="1"/>
  <c r="F4" i="83"/>
  <c r="F5" i="83" s="1"/>
  <c r="E4" i="83"/>
  <c r="E5" i="83" s="1"/>
  <c r="D4" i="83"/>
  <c r="D5" i="83" s="1"/>
  <c r="C4" i="83"/>
  <c r="C5" i="83" s="1"/>
  <c r="B4" i="83"/>
  <c r="B5" i="83" s="1"/>
  <c r="C8" i="49"/>
  <c r="D8" i="49" s="1"/>
  <c r="E8" i="49" s="1"/>
  <c r="F8" i="49" s="1"/>
  <c r="G8" i="49" s="1"/>
  <c r="H8" i="49" s="1"/>
  <c r="I8" i="49" s="1"/>
  <c r="J8" i="49" s="1"/>
  <c r="K8" i="49" s="1"/>
  <c r="N5" i="49"/>
  <c r="N4" i="49"/>
  <c r="G4" i="49"/>
  <c r="F4" i="49"/>
  <c r="E4" i="49"/>
  <c r="D4" i="49"/>
  <c r="C4" i="49"/>
  <c r="B4" i="49"/>
  <c r="B5" i="49" s="1"/>
  <c r="N5" i="14"/>
  <c r="N4" i="14"/>
  <c r="G4" i="14"/>
  <c r="F4" i="14"/>
  <c r="E4" i="14"/>
  <c r="D4" i="14"/>
  <c r="C4" i="14"/>
  <c r="B4" i="14"/>
  <c r="G3" i="14"/>
  <c r="F3" i="14"/>
  <c r="E3" i="14"/>
  <c r="D3" i="14"/>
  <c r="C3" i="14"/>
  <c r="B3" i="14"/>
  <c r="J7" i="79"/>
  <c r="F7" i="79"/>
  <c r="F8" i="79" s="1"/>
  <c r="F9" i="79" s="1"/>
  <c r="F41" i="76" s="1"/>
  <c r="B8" i="79"/>
  <c r="B9" i="79" s="1"/>
  <c r="B41" i="76" s="1"/>
  <c r="H7" i="79"/>
  <c r="D8" i="79"/>
  <c r="D9" i="79" s="1"/>
  <c r="D41" i="76" s="1"/>
  <c r="N5" i="3"/>
  <c r="N4" i="3"/>
  <c r="G4" i="3"/>
  <c r="F4" i="3"/>
  <c r="E4" i="3"/>
  <c r="D4" i="3"/>
  <c r="C4" i="3"/>
  <c r="B4" i="3"/>
  <c r="G3" i="3"/>
  <c r="G5" i="3" s="1"/>
  <c r="F3" i="3"/>
  <c r="E3" i="3"/>
  <c r="E5" i="3" s="1"/>
  <c r="D3" i="3"/>
  <c r="D5" i="3" s="1"/>
  <c r="C3" i="3"/>
  <c r="B3" i="3"/>
  <c r="F7" i="6"/>
  <c r="G7" i="6" s="1"/>
  <c r="H7" i="6" s="1"/>
  <c r="I7" i="6" s="1"/>
  <c r="J7" i="6" s="1"/>
  <c r="K7" i="6" s="1"/>
  <c r="N5" i="6"/>
  <c r="N4" i="6"/>
  <c r="G4" i="6"/>
  <c r="F4" i="6"/>
  <c r="E4" i="6"/>
  <c r="D4" i="6"/>
  <c r="C4" i="6"/>
  <c r="B4" i="6"/>
  <c r="G3" i="6"/>
  <c r="F3" i="6"/>
  <c r="E3" i="6"/>
  <c r="D3" i="6"/>
  <c r="D5" i="6" s="1"/>
  <c r="C3" i="6"/>
  <c r="B3" i="6"/>
  <c r="N5" i="71"/>
  <c r="N4" i="71"/>
  <c r="G4" i="71"/>
  <c r="F4" i="71"/>
  <c r="E4" i="71"/>
  <c r="D4" i="71"/>
  <c r="C4" i="71"/>
  <c r="B4" i="71"/>
  <c r="C8" i="37"/>
  <c r="D8" i="37" s="1"/>
  <c r="E8" i="37" s="1"/>
  <c r="F8" i="37" s="1"/>
  <c r="G8" i="37" s="1"/>
  <c r="H8" i="37" s="1"/>
  <c r="I8" i="37" s="1"/>
  <c r="J8" i="37" s="1"/>
  <c r="K8" i="37" s="1"/>
  <c r="N5" i="37"/>
  <c r="N4" i="37"/>
  <c r="G4" i="37"/>
  <c r="F4" i="37"/>
  <c r="E4" i="37"/>
  <c r="D4" i="37"/>
  <c r="C4" i="37"/>
  <c r="B4" i="37"/>
  <c r="B5" i="37" s="1"/>
  <c r="N4" i="50"/>
  <c r="G4" i="50"/>
  <c r="F4" i="50"/>
  <c r="E4" i="50"/>
  <c r="D4" i="50"/>
  <c r="C4" i="50"/>
  <c r="B4" i="50"/>
  <c r="B5" i="50" s="1"/>
  <c r="F7" i="9"/>
  <c r="G7" i="9" s="1"/>
  <c r="H7" i="9" s="1"/>
  <c r="I7" i="9" s="1"/>
  <c r="J7" i="9" s="1"/>
  <c r="K7" i="9" s="1"/>
  <c r="N5" i="9"/>
  <c r="N4" i="9"/>
  <c r="G4" i="9"/>
  <c r="F4" i="9"/>
  <c r="E4" i="9"/>
  <c r="D4" i="9"/>
  <c r="C4" i="9"/>
  <c r="B4" i="9"/>
  <c r="G3" i="9"/>
  <c r="F3" i="9"/>
  <c r="E3" i="9"/>
  <c r="D3" i="9"/>
  <c r="C3" i="9"/>
  <c r="B3" i="9"/>
  <c r="N5" i="89"/>
  <c r="N4" i="89"/>
  <c r="G4" i="89"/>
  <c r="F4" i="89"/>
  <c r="E4" i="89"/>
  <c r="D4" i="89"/>
  <c r="C4" i="89"/>
  <c r="B4" i="89"/>
  <c r="N4" i="72"/>
  <c r="G4" i="72"/>
  <c r="G3" i="72" s="1"/>
  <c r="G5" i="72" s="1"/>
  <c r="F4" i="72"/>
  <c r="E4" i="72"/>
  <c r="E3" i="72" s="1"/>
  <c r="E5" i="72" s="1"/>
  <c r="D4" i="72"/>
  <c r="D3" i="72" s="1"/>
  <c r="D5" i="72" s="1"/>
  <c r="C4" i="72"/>
  <c r="C3" i="72" s="1"/>
  <c r="C5" i="72" s="1"/>
  <c r="B4" i="72"/>
  <c r="B3" i="72" s="1"/>
  <c r="B5" i="72" s="1"/>
  <c r="C3" i="48"/>
  <c r="C8" i="48"/>
  <c r="D8" i="48" s="1"/>
  <c r="E8" i="48" s="1"/>
  <c r="F8" i="48" s="1"/>
  <c r="G8" i="48" s="1"/>
  <c r="H8" i="48" s="1"/>
  <c r="I8" i="48" s="1"/>
  <c r="J8" i="48" s="1"/>
  <c r="K8" i="48" s="1"/>
  <c r="N4" i="48"/>
  <c r="N5" i="43"/>
  <c r="N4" i="43"/>
  <c r="G4" i="43"/>
  <c r="F4" i="43"/>
  <c r="E4" i="43"/>
  <c r="D4" i="43"/>
  <c r="C4" i="43"/>
  <c r="B4" i="43"/>
  <c r="B5" i="43" s="1"/>
  <c r="N5" i="19"/>
  <c r="N4" i="19"/>
  <c r="N5" i="86"/>
  <c r="N4" i="86"/>
  <c r="G4" i="86"/>
  <c r="G5" i="86" s="1"/>
  <c r="F4" i="86"/>
  <c r="F5" i="86" s="1"/>
  <c r="E4" i="86"/>
  <c r="E5" i="86" s="1"/>
  <c r="D4" i="86"/>
  <c r="D5" i="86" s="1"/>
  <c r="C4" i="86"/>
  <c r="C5" i="86" s="1"/>
  <c r="B4" i="86"/>
  <c r="B5" i="86" s="1"/>
  <c r="N5" i="34"/>
  <c r="N4" i="34"/>
  <c r="G4" i="34"/>
  <c r="F4" i="34"/>
  <c r="E4" i="34"/>
  <c r="D4" i="34"/>
  <c r="C4" i="34"/>
  <c r="B4" i="34"/>
  <c r="G3" i="34"/>
  <c r="F3" i="34"/>
  <c r="E3" i="34"/>
  <c r="E5" i="34" s="1"/>
  <c r="D3" i="34"/>
  <c r="D5" i="34" s="1"/>
  <c r="C3" i="34"/>
  <c r="B3" i="34"/>
  <c r="F8" i="18"/>
  <c r="G8" i="18" s="1"/>
  <c r="H8" i="18" s="1"/>
  <c r="I8" i="18" s="1"/>
  <c r="J8" i="18" s="1"/>
  <c r="K8" i="18" s="1"/>
  <c r="N5" i="18"/>
  <c r="N4" i="18"/>
  <c r="G4" i="18"/>
  <c r="F4" i="18"/>
  <c r="E4" i="18"/>
  <c r="D4" i="18"/>
  <c r="C4" i="18"/>
  <c r="B4" i="18"/>
  <c r="G3" i="18"/>
  <c r="F3" i="18"/>
  <c r="E3" i="18"/>
  <c r="D3" i="18"/>
  <c r="D5" i="18" s="1"/>
  <c r="C3" i="18"/>
  <c r="B3" i="18"/>
  <c r="F8" i="11"/>
  <c r="G8" i="11" s="1"/>
  <c r="H8" i="11" s="1"/>
  <c r="I8" i="11" s="1"/>
  <c r="J8" i="11" s="1"/>
  <c r="K8" i="11" s="1"/>
  <c r="F7" i="11"/>
  <c r="G7" i="11" s="1"/>
  <c r="H7" i="11" s="1"/>
  <c r="I7" i="11" s="1"/>
  <c r="J7" i="11" s="1"/>
  <c r="K7" i="11" s="1"/>
  <c r="N5" i="11"/>
  <c r="N4" i="11"/>
  <c r="G4" i="11"/>
  <c r="F4" i="11"/>
  <c r="E4" i="11"/>
  <c r="D4" i="11"/>
  <c r="C4" i="11"/>
  <c r="B4" i="11"/>
  <c r="G3" i="11"/>
  <c r="F3" i="11"/>
  <c r="E3" i="11"/>
  <c r="D3" i="11"/>
  <c r="C3" i="11"/>
  <c r="B3" i="11"/>
  <c r="N5" i="42"/>
  <c r="N4" i="42"/>
  <c r="C3" i="42"/>
  <c r="N5" i="80"/>
  <c r="N4" i="80"/>
  <c r="N5" i="88"/>
  <c r="N4" i="88"/>
  <c r="C8" i="45"/>
  <c r="D8" i="45" s="1"/>
  <c r="E8" i="45" s="1"/>
  <c r="F8" i="45" s="1"/>
  <c r="G8" i="45" s="1"/>
  <c r="H8" i="45" s="1"/>
  <c r="I8" i="45" s="1"/>
  <c r="J8" i="45" s="1"/>
  <c r="K8" i="45" s="1"/>
  <c r="N5" i="45"/>
  <c r="N4" i="45"/>
  <c r="C3" i="45"/>
  <c r="C5" i="45" s="1"/>
  <c r="N5" i="40"/>
  <c r="B5" i="40" s="1"/>
  <c r="N4" i="40"/>
  <c r="N5" i="84"/>
  <c r="N4" i="84"/>
  <c r="N5" i="81"/>
  <c r="N4" i="81"/>
  <c r="N5" i="46"/>
  <c r="N4" i="46"/>
  <c r="N5" i="87"/>
  <c r="N4" i="87"/>
  <c r="F8" i="16"/>
  <c r="G8" i="16" s="1"/>
  <c r="H8" i="16" s="1"/>
  <c r="I8" i="16" s="1"/>
  <c r="J8" i="16" s="1"/>
  <c r="K8" i="16" s="1"/>
  <c r="N5" i="16"/>
  <c r="N4" i="16"/>
  <c r="H3" i="16"/>
  <c r="C8" i="36"/>
  <c r="D8" i="36" s="1"/>
  <c r="E8" i="36" s="1"/>
  <c r="F8" i="36" s="1"/>
  <c r="G8" i="36" s="1"/>
  <c r="H8" i="36" s="1"/>
  <c r="I8" i="36" s="1"/>
  <c r="J8" i="36" s="1"/>
  <c r="K8" i="36" s="1"/>
  <c r="N5" i="36"/>
  <c r="N4" i="36"/>
  <c r="C3" i="36"/>
  <c r="C5" i="36" s="1"/>
  <c r="C7" i="31"/>
  <c r="D7" i="31" s="1"/>
  <c r="E7" i="31" s="1"/>
  <c r="F7" i="31" s="1"/>
  <c r="G7" i="31" s="1"/>
  <c r="H7" i="31" s="1"/>
  <c r="I7" i="31" s="1"/>
  <c r="J7" i="31" s="1"/>
  <c r="K7" i="31" s="1"/>
  <c r="C8" i="31"/>
  <c r="D8" i="31" s="1"/>
  <c r="E8" i="31" s="1"/>
  <c r="F8" i="31" s="1"/>
  <c r="G8" i="31" s="1"/>
  <c r="H8" i="31" s="1"/>
  <c r="I8" i="31" s="1"/>
  <c r="J8" i="31" s="1"/>
  <c r="K8" i="31" s="1"/>
  <c r="N5" i="31"/>
  <c r="N4" i="31"/>
  <c r="N5" i="44"/>
  <c r="N4" i="44"/>
  <c r="C3" i="44"/>
  <c r="C5" i="44" s="1"/>
  <c r="F8" i="15"/>
  <c r="G8" i="15" s="1"/>
  <c r="H8" i="15" s="1"/>
  <c r="I8" i="15" s="1"/>
  <c r="J8" i="15" s="1"/>
  <c r="K8" i="15" s="1"/>
  <c r="F7" i="15"/>
  <c r="G7" i="15" s="1"/>
  <c r="H7" i="15" s="1"/>
  <c r="I7" i="15" s="1"/>
  <c r="J7" i="15" s="1"/>
  <c r="K7" i="15" s="1"/>
  <c r="N5" i="15"/>
  <c r="N4" i="15"/>
  <c r="N5" i="90"/>
  <c r="N4" i="90"/>
  <c r="C8" i="39"/>
  <c r="D8" i="39" s="1"/>
  <c r="E8" i="39" s="1"/>
  <c r="F8" i="39" s="1"/>
  <c r="G8" i="39" s="1"/>
  <c r="H8" i="39" s="1"/>
  <c r="I8" i="39" s="1"/>
  <c r="J8" i="39" s="1"/>
  <c r="K8" i="39" s="1"/>
  <c r="C7" i="39"/>
  <c r="D7" i="39" s="1"/>
  <c r="E7" i="39" s="1"/>
  <c r="F7" i="39" s="1"/>
  <c r="G7" i="39" s="1"/>
  <c r="H7" i="39" s="1"/>
  <c r="I7" i="39" s="1"/>
  <c r="J7" i="39" s="1"/>
  <c r="K7" i="39" s="1"/>
  <c r="N5" i="39"/>
  <c r="N4" i="39"/>
  <c r="C8" i="33"/>
  <c r="D8" i="33" s="1"/>
  <c r="E8" i="33" s="1"/>
  <c r="F8" i="33" s="1"/>
  <c r="G8" i="33" s="1"/>
  <c r="H8" i="33" s="1"/>
  <c r="I8" i="33" s="1"/>
  <c r="J8" i="33" s="1"/>
  <c r="K8" i="33" s="1"/>
  <c r="C7" i="33"/>
  <c r="D7" i="33" s="1"/>
  <c r="E7" i="33" s="1"/>
  <c r="F7" i="33" s="1"/>
  <c r="G7" i="33" s="1"/>
  <c r="H7" i="33" s="1"/>
  <c r="I7" i="33" s="1"/>
  <c r="J7" i="33" s="1"/>
  <c r="K7" i="33" s="1"/>
  <c r="N5" i="33"/>
  <c r="N4" i="33"/>
  <c r="C3" i="33"/>
  <c r="C5" i="33" s="1"/>
  <c r="N5" i="8"/>
  <c r="N4" i="8"/>
  <c r="N5" i="29"/>
  <c r="N4" i="29"/>
  <c r="C4" i="38"/>
  <c r="D4" i="38" s="1"/>
  <c r="E4" i="38" s="1"/>
  <c r="F4" i="38" s="1"/>
  <c r="G4" i="38" s="1"/>
  <c r="H4" i="38" s="1"/>
  <c r="I4" i="38" s="1"/>
  <c r="J4" i="38" s="1"/>
  <c r="K4" i="38" s="1"/>
  <c r="N5" i="38"/>
  <c r="N4" i="38"/>
  <c r="C3" i="38"/>
  <c r="N5" i="82"/>
  <c r="N4" i="82"/>
  <c r="Q79" i="28"/>
  <c r="Q78" i="28"/>
  <c r="Q77" i="28"/>
  <c r="Q76" i="28"/>
  <c r="Q75" i="28"/>
  <c r="Q74" i="28"/>
  <c r="Q73" i="28"/>
  <c r="Q72" i="28"/>
  <c r="Q71" i="28"/>
  <c r="Q70" i="28"/>
  <c r="Q69" i="28"/>
  <c r="Q68" i="28"/>
  <c r="Q67" i="28"/>
  <c r="Q66" i="28"/>
  <c r="Q65" i="28"/>
  <c r="Q64" i="28"/>
  <c r="Q63" i="28"/>
  <c r="Q62" i="28"/>
  <c r="Q61" i="28"/>
  <c r="Q60" i="28"/>
  <c r="Q59" i="28"/>
  <c r="Q58" i="28"/>
  <c r="Q57" i="28"/>
  <c r="Q56" i="28"/>
  <c r="Q55" i="28"/>
  <c r="Q54" i="28"/>
  <c r="Q53" i="28"/>
  <c r="Q52" i="28"/>
  <c r="Q51" i="28"/>
  <c r="Q50" i="28"/>
  <c r="Q49" i="28"/>
  <c r="Q48" i="28"/>
  <c r="Q47" i="28"/>
  <c r="Q46" i="28"/>
  <c r="Q45" i="28"/>
  <c r="Q44" i="28"/>
  <c r="Q43" i="28"/>
  <c r="Q42" i="28"/>
  <c r="Q41" i="28"/>
  <c r="Q40" i="28"/>
  <c r="Q39" i="28"/>
  <c r="Q38" i="28"/>
  <c r="Q37" i="28"/>
  <c r="Q36" i="28"/>
  <c r="Q35" i="28"/>
  <c r="Q34" i="28"/>
  <c r="Q33" i="28"/>
  <c r="Q32" i="28"/>
  <c r="Q31" i="28"/>
  <c r="Q30" i="28"/>
  <c r="Q29" i="28"/>
  <c r="Q28" i="28"/>
  <c r="Q27" i="28"/>
  <c r="Q26" i="28"/>
  <c r="Q25" i="28"/>
  <c r="Q24" i="28"/>
  <c r="Q23" i="28"/>
  <c r="Q22" i="28"/>
  <c r="Q21" i="28"/>
  <c r="Q20" i="28"/>
  <c r="Q19" i="28"/>
  <c r="Q18" i="28"/>
  <c r="Q17" i="28"/>
  <c r="Q16" i="28"/>
  <c r="Q15" i="28"/>
  <c r="Q14" i="28"/>
  <c r="Q13" i="28"/>
  <c r="Q12" i="28"/>
  <c r="Q11" i="28"/>
  <c r="Q10" i="28"/>
  <c r="Q9" i="28"/>
  <c r="Q8" i="28"/>
  <c r="Q7" i="28"/>
  <c r="Q58" i="55"/>
  <c r="Q57" i="55"/>
  <c r="Q56" i="55"/>
  <c r="Q55" i="55"/>
  <c r="Q54" i="55"/>
  <c r="Q53" i="55"/>
  <c r="Q52" i="55"/>
  <c r="Q51" i="55"/>
  <c r="Q50" i="55"/>
  <c r="Q49" i="55"/>
  <c r="Q48" i="55"/>
  <c r="Q47" i="55"/>
  <c r="Q46" i="55"/>
  <c r="Q45" i="55"/>
  <c r="Q44" i="55"/>
  <c r="Q43" i="55"/>
  <c r="Q42" i="55"/>
  <c r="Q41" i="55"/>
  <c r="Q40" i="55"/>
  <c r="Q39" i="55"/>
  <c r="Q38" i="55"/>
  <c r="Q37" i="55"/>
  <c r="Q36" i="55"/>
  <c r="Q35" i="55"/>
  <c r="Q34" i="55"/>
  <c r="Q33" i="55"/>
  <c r="Q32" i="55"/>
  <c r="Q31" i="55"/>
  <c r="Q30" i="55"/>
  <c r="Q29" i="55"/>
  <c r="Q28" i="55"/>
  <c r="Q27" i="55"/>
  <c r="Q26" i="55"/>
  <c r="Q25" i="55"/>
  <c r="Q24" i="55"/>
  <c r="Q23" i="55"/>
  <c r="Q22" i="55"/>
  <c r="Q21" i="55"/>
  <c r="Q20" i="55"/>
  <c r="Q19" i="55"/>
  <c r="Q18" i="55"/>
  <c r="Q17" i="55"/>
  <c r="Q16" i="55"/>
  <c r="Q15" i="55"/>
  <c r="Q14" i="55"/>
  <c r="Q13" i="55"/>
  <c r="Q12" i="55"/>
  <c r="Q11" i="55"/>
  <c r="Q10" i="55"/>
  <c r="Q9" i="55"/>
  <c r="Q8" i="55"/>
  <c r="Q7" i="55"/>
  <c r="C5" i="38" l="1"/>
  <c r="E5" i="11"/>
  <c r="E10" i="11" s="1"/>
  <c r="E11" i="11" s="1"/>
  <c r="E12" i="11" s="1"/>
  <c r="E5" i="18"/>
  <c r="D5" i="9"/>
  <c r="E5" i="6"/>
  <c r="C5" i="14"/>
  <c r="C10" i="14" s="1"/>
  <c r="C11" i="14" s="1"/>
  <c r="C12" i="14" s="1"/>
  <c r="G5" i="14"/>
  <c r="D5" i="17"/>
  <c r="B5" i="7"/>
  <c r="F5" i="7"/>
  <c r="F10" i="7" s="1"/>
  <c r="E5" i="5"/>
  <c r="C5" i="4"/>
  <c r="G5" i="4"/>
  <c r="E5" i="13"/>
  <c r="E10" i="13" s="1"/>
  <c r="E11" i="13" s="1"/>
  <c r="E12" i="13" s="1"/>
  <c r="C5" i="51"/>
  <c r="G5" i="51"/>
  <c r="E5" i="58"/>
  <c r="B5" i="11"/>
  <c r="B10" i="11" s="1"/>
  <c r="B11" i="11" s="1"/>
  <c r="B12" i="11" s="1"/>
  <c r="F5" i="11"/>
  <c r="D5" i="14"/>
  <c r="E11" i="14"/>
  <c r="E12" i="14" s="1"/>
  <c r="C5" i="9"/>
  <c r="G5" i="9"/>
  <c r="C5" i="41"/>
  <c r="C10" i="41" s="1"/>
  <c r="C11" i="41" s="1"/>
  <c r="C12" i="41" s="1"/>
  <c r="F5" i="82"/>
  <c r="D5" i="82"/>
  <c r="E5" i="82"/>
  <c r="C5" i="82"/>
  <c r="B5" i="82"/>
  <c r="G5" i="82"/>
  <c r="C5" i="81"/>
  <c r="G5" i="81"/>
  <c r="G10" i="81" s="1"/>
  <c r="G11" i="81" s="1"/>
  <c r="G12" i="81" s="1"/>
  <c r="E5" i="81"/>
  <c r="F5" i="81"/>
  <c r="B5" i="81"/>
  <c r="D5" i="81"/>
  <c r="C5" i="11"/>
  <c r="G5" i="11"/>
  <c r="B5" i="18"/>
  <c r="F5" i="18"/>
  <c r="B5" i="34"/>
  <c r="F5" i="34"/>
  <c r="E5" i="9"/>
  <c r="B5" i="6"/>
  <c r="B10" i="6" s="1"/>
  <c r="B11" i="6" s="1"/>
  <c r="B12" i="6" s="1"/>
  <c r="F5" i="6"/>
  <c r="B5" i="3"/>
  <c r="F5" i="3"/>
  <c r="B5" i="14"/>
  <c r="B10" i="14" s="1"/>
  <c r="B11" i="14" s="1"/>
  <c r="F5" i="14"/>
  <c r="C5" i="17"/>
  <c r="G5" i="17"/>
  <c r="D5" i="7"/>
  <c r="D10" i="7" s="1"/>
  <c r="D11" i="7" s="1"/>
  <c r="D12" i="7" s="1"/>
  <c r="F5" i="5"/>
  <c r="B5" i="4"/>
  <c r="F5" i="4"/>
  <c r="D5" i="13"/>
  <c r="D10" i="13" s="1"/>
  <c r="D11" i="13" s="1"/>
  <c r="D12" i="13" s="1"/>
  <c r="E5" i="51"/>
  <c r="B5" i="58"/>
  <c r="F5" i="58"/>
  <c r="C5" i="88"/>
  <c r="G5" i="88"/>
  <c r="E5" i="88"/>
  <c r="F5" i="88"/>
  <c r="D5" i="88"/>
  <c r="B5" i="88"/>
  <c r="D5" i="80"/>
  <c r="B5" i="80"/>
  <c r="C5" i="80"/>
  <c r="F5" i="80"/>
  <c r="E5" i="80"/>
  <c r="G5" i="80"/>
  <c r="D5" i="11"/>
  <c r="D10" i="11" s="1"/>
  <c r="D11" i="11" s="1"/>
  <c r="D12" i="11" s="1"/>
  <c r="C5" i="18"/>
  <c r="G5" i="18"/>
  <c r="C5" i="34"/>
  <c r="G5" i="34"/>
  <c r="G10" i="34" s="1"/>
  <c r="G11" i="34" s="1"/>
  <c r="G12" i="34" s="1"/>
  <c r="D5" i="89"/>
  <c r="B5" i="89"/>
  <c r="E5" i="89"/>
  <c r="F5" i="89"/>
  <c r="G5" i="89"/>
  <c r="C5" i="89"/>
  <c r="B5" i="9"/>
  <c r="F5" i="9"/>
  <c r="F10" i="9" s="1"/>
  <c r="C5" i="6"/>
  <c r="G5" i="6"/>
  <c r="C5" i="3"/>
  <c r="C5" i="5"/>
  <c r="C10" i="5" s="1"/>
  <c r="C11" i="5" s="1"/>
  <c r="C12" i="5" s="1"/>
  <c r="D3" i="10"/>
  <c r="C5" i="10"/>
  <c r="B5" i="90"/>
  <c r="F5" i="90"/>
  <c r="D5" i="90"/>
  <c r="G5" i="90"/>
  <c r="E5" i="90"/>
  <c r="C5" i="90"/>
  <c r="C10" i="90" s="1"/>
  <c r="C11" i="90" s="1"/>
  <c r="C12" i="90" s="1"/>
  <c r="C5" i="84"/>
  <c r="G5" i="84"/>
  <c r="E5" i="84"/>
  <c r="D5" i="84"/>
  <c r="B5" i="84"/>
  <c r="F5" i="84"/>
  <c r="E5" i="14"/>
  <c r="C5" i="47"/>
  <c r="E10" i="16"/>
  <c r="E11" i="16" s="1"/>
  <c r="E12" i="16" s="1"/>
  <c r="B10" i="36"/>
  <c r="B11" i="36" s="1"/>
  <c r="B12" i="36" s="1"/>
  <c r="B14" i="36" s="1"/>
  <c r="B15" i="36" s="1"/>
  <c r="B16" i="36" s="1"/>
  <c r="B13" i="76" s="1"/>
  <c r="B10" i="16"/>
  <c r="B11" i="16" s="1"/>
  <c r="B12" i="16" s="1"/>
  <c r="F10" i="16"/>
  <c r="D10" i="6"/>
  <c r="D11" i="6" s="1"/>
  <c r="D12" i="6" s="1"/>
  <c r="D10" i="14"/>
  <c r="D12" i="14" s="1"/>
  <c r="B10" i="83"/>
  <c r="B11" i="83" s="1"/>
  <c r="B12" i="83" s="1"/>
  <c r="B14" i="83" s="1"/>
  <c r="B15" i="83" s="1"/>
  <c r="B16" i="83" s="1"/>
  <c r="B44" i="76" s="1"/>
  <c r="E10" i="7"/>
  <c r="E11" i="7" s="1"/>
  <c r="E12" i="7" s="1"/>
  <c r="B10" i="47"/>
  <c r="B11" i="47" s="1"/>
  <c r="B12" i="47" s="1"/>
  <c r="B14" i="47" s="1"/>
  <c r="B15" i="47" s="1"/>
  <c r="E10" i="6"/>
  <c r="E11" i="6" s="1"/>
  <c r="E12" i="6" s="1"/>
  <c r="C10" i="83"/>
  <c r="C11" i="83" s="1"/>
  <c r="C12" i="83" s="1"/>
  <c r="G10" i="83"/>
  <c r="G11" i="83" s="1"/>
  <c r="G12" i="83" s="1"/>
  <c r="D10" i="29"/>
  <c r="D11" i="29" s="1"/>
  <c r="D12" i="29" s="1"/>
  <c r="C10" i="16"/>
  <c r="C11" i="16" s="1"/>
  <c r="C12" i="16" s="1"/>
  <c r="G10" i="16"/>
  <c r="H4" i="87"/>
  <c r="B3" i="71"/>
  <c r="B5" i="71" s="1"/>
  <c r="F3" i="71"/>
  <c r="G10" i="90"/>
  <c r="G11" i="90" s="1"/>
  <c r="G12" i="90" s="1"/>
  <c r="F10" i="18"/>
  <c r="F11" i="18" s="1"/>
  <c r="G3" i="71"/>
  <c r="F10" i="6"/>
  <c r="D10" i="5"/>
  <c r="D11" i="5" s="1"/>
  <c r="D12" i="5" s="1"/>
  <c r="B10" i="82"/>
  <c r="B11" i="82" s="1"/>
  <c r="B12" i="82" s="1"/>
  <c r="F10" i="82"/>
  <c r="F11" i="82" s="1"/>
  <c r="F12" i="82" s="1"/>
  <c r="F10" i="8"/>
  <c r="B10" i="45"/>
  <c r="B11" i="45" s="1"/>
  <c r="B12" i="45" s="1"/>
  <c r="B14" i="45" s="1"/>
  <c r="B15" i="45" s="1"/>
  <c r="C10" i="80"/>
  <c r="C11" i="80" s="1"/>
  <c r="C12" i="80" s="1"/>
  <c r="C14" i="80" s="1"/>
  <c r="C15" i="80" s="1"/>
  <c r="C16" i="80" s="1"/>
  <c r="C22" i="76" s="1"/>
  <c r="E10" i="5"/>
  <c r="E11" i="5" s="1"/>
  <c r="E12" i="5" s="1"/>
  <c r="E10" i="58"/>
  <c r="E11" i="58" s="1"/>
  <c r="E12" i="58" s="1"/>
  <c r="B10" i="8"/>
  <c r="B10" i="34"/>
  <c r="B11" i="34" s="1"/>
  <c r="B12" i="34" s="1"/>
  <c r="B10" i="19"/>
  <c r="E10" i="51"/>
  <c r="E11" i="51" s="1"/>
  <c r="E12" i="51" s="1"/>
  <c r="D10" i="15"/>
  <c r="D11" i="15" s="1"/>
  <c r="D12" i="15" s="1"/>
  <c r="F10" i="86"/>
  <c r="F11" i="86" s="1"/>
  <c r="F12" i="86" s="1"/>
  <c r="H4" i="50"/>
  <c r="I4" i="50" s="1"/>
  <c r="J4" i="50" s="1"/>
  <c r="K4" i="50" s="1"/>
  <c r="H4" i="32"/>
  <c r="I4" i="32" s="1"/>
  <c r="J4" i="32" s="1"/>
  <c r="K4" i="32" s="1"/>
  <c r="C10" i="87"/>
  <c r="C11" i="87" s="1"/>
  <c r="C12" i="87" s="1"/>
  <c r="F10" i="11"/>
  <c r="D10" i="34"/>
  <c r="D11" i="34" s="1"/>
  <c r="D12" i="34" s="1"/>
  <c r="H4" i="82"/>
  <c r="C10" i="38"/>
  <c r="B10" i="33"/>
  <c r="B11" i="33" s="1"/>
  <c r="B12" i="33" s="1"/>
  <c r="B14" i="33" s="1"/>
  <c r="B15" i="33" s="1"/>
  <c r="B16" i="33" s="1"/>
  <c r="B7" i="76" s="1"/>
  <c r="B10" i="44"/>
  <c r="B11" i="44" s="1"/>
  <c r="B12" i="44" s="1"/>
  <c r="B14" i="44" s="1"/>
  <c r="B15" i="44" s="1"/>
  <c r="B16" i="44" s="1"/>
  <c r="B11" i="76" s="1"/>
  <c r="E10" i="18"/>
  <c r="E11" i="18" s="1"/>
  <c r="E12" i="18" s="1"/>
  <c r="H4" i="34"/>
  <c r="I4" i="34" s="1"/>
  <c r="J4" i="34" s="1"/>
  <c r="K4" i="34" s="1"/>
  <c r="H4" i="89"/>
  <c r="I4" i="89" s="1"/>
  <c r="J4" i="89" s="1"/>
  <c r="K4" i="89" s="1"/>
  <c r="E10" i="9"/>
  <c r="E11" i="9" s="1"/>
  <c r="E12" i="9" s="1"/>
  <c r="B10" i="51"/>
  <c r="B11" i="51" s="1"/>
  <c r="B12" i="51" s="1"/>
  <c r="B10" i="15"/>
  <c r="B11" i="15" s="1"/>
  <c r="B12" i="15" s="1"/>
  <c r="F10" i="15"/>
  <c r="B10" i="18"/>
  <c r="B11" i="18" s="1"/>
  <c r="B12" i="18" s="1"/>
  <c r="F10" i="34"/>
  <c r="F11" i="34" s="1"/>
  <c r="F12" i="34" s="1"/>
  <c r="F14" i="34" s="1"/>
  <c r="F15" i="34" s="1"/>
  <c r="F16" i="34" s="1"/>
  <c r="F26" i="76" s="1"/>
  <c r="G10" i="86"/>
  <c r="G11" i="86" s="1"/>
  <c r="G12" i="86" s="1"/>
  <c r="B10" i="9"/>
  <c r="B11" i="9" s="1"/>
  <c r="B12" i="9" s="1"/>
  <c r="B14" i="9" s="1"/>
  <c r="B15" i="9" s="1"/>
  <c r="D3" i="71"/>
  <c r="C10" i="47"/>
  <c r="C11" i="47" s="1"/>
  <c r="C12" i="47" s="1"/>
  <c r="B10" i="41"/>
  <c r="H4" i="14"/>
  <c r="I4" i="14" s="1"/>
  <c r="J4" i="14" s="1"/>
  <c r="K4" i="14" s="1"/>
  <c r="E10" i="81"/>
  <c r="E11" i="81" s="1"/>
  <c r="E12" i="81" s="1"/>
  <c r="B10" i="29"/>
  <c r="B11" i="29" s="1"/>
  <c r="B12" i="29" s="1"/>
  <c r="H4" i="33"/>
  <c r="H4" i="44"/>
  <c r="D10" i="18"/>
  <c r="D11" i="18" s="1"/>
  <c r="D12" i="18" s="1"/>
  <c r="E10" i="19"/>
  <c r="E11" i="19" s="1"/>
  <c r="E12" i="19" s="1"/>
  <c r="D10" i="9"/>
  <c r="D11" i="9" s="1"/>
  <c r="D12" i="9" s="1"/>
  <c r="E10" i="3"/>
  <c r="E11" i="3" s="1"/>
  <c r="E12" i="3" s="1"/>
  <c r="E10" i="14"/>
  <c r="E10" i="17"/>
  <c r="E11" i="17" s="1"/>
  <c r="E12" i="17" s="1"/>
  <c r="H3" i="7"/>
  <c r="D10" i="4"/>
  <c r="D11" i="4" s="1"/>
  <c r="D12" i="4" s="1"/>
  <c r="E10" i="4"/>
  <c r="E11" i="4" s="1"/>
  <c r="E12" i="4" s="1"/>
  <c r="D10" i="72"/>
  <c r="D11" i="72" s="1"/>
  <c r="D12" i="72" s="1"/>
  <c r="B10" i="38"/>
  <c r="B11" i="38" s="1"/>
  <c r="B12" i="38" s="1"/>
  <c r="B14" i="38" s="1"/>
  <c r="B15" i="38" s="1"/>
  <c r="B16" i="38" s="1"/>
  <c r="B4" i="76" s="1"/>
  <c r="E10" i="8"/>
  <c r="H4" i="39"/>
  <c r="I4" i="39" s="1"/>
  <c r="J4" i="39" s="1"/>
  <c r="K4" i="39" s="1"/>
  <c r="H4" i="36"/>
  <c r="H4" i="40"/>
  <c r="H4" i="45"/>
  <c r="C10" i="19"/>
  <c r="C11" i="19" s="1"/>
  <c r="C12" i="19" s="1"/>
  <c r="J8" i="79"/>
  <c r="J9" i="79" s="1"/>
  <c r="J41" i="76" s="1"/>
  <c r="H4" i="83"/>
  <c r="I4" i="83" s="1"/>
  <c r="J4" i="83" s="1"/>
  <c r="K4" i="83" s="1"/>
  <c r="B10" i="7"/>
  <c r="B11" i="7" s="1"/>
  <c r="B12" i="7" s="1"/>
  <c r="C10" i="7"/>
  <c r="C11" i="7" s="1"/>
  <c r="C12" i="7" s="1"/>
  <c r="G10" i="7"/>
  <c r="B10" i="10"/>
  <c r="B11" i="10" s="1"/>
  <c r="B12" i="10" s="1"/>
  <c r="C10" i="58"/>
  <c r="C11" i="58" s="1"/>
  <c r="C12" i="58" s="1"/>
  <c r="G10" i="58"/>
  <c r="G11" i="58" s="1"/>
  <c r="G12" i="58" s="1"/>
  <c r="E10" i="15"/>
  <c r="E11" i="15" s="1"/>
  <c r="E12" i="15" s="1"/>
  <c r="C10" i="15"/>
  <c r="C11" i="15" s="1"/>
  <c r="C12" i="15" s="1"/>
  <c r="C14" i="15" s="1"/>
  <c r="C15" i="15" s="1"/>
  <c r="C16" i="15" s="1"/>
  <c r="C10" i="76" s="1"/>
  <c r="G10" i="15"/>
  <c r="D10" i="16"/>
  <c r="D11" i="16" s="1"/>
  <c r="D12" i="16" s="1"/>
  <c r="C10" i="11"/>
  <c r="C11" i="11" s="1"/>
  <c r="C12" i="11" s="1"/>
  <c r="G10" i="11"/>
  <c r="C10" i="18"/>
  <c r="C11" i="18" s="1"/>
  <c r="C12" i="18" s="1"/>
  <c r="C14" i="18" s="1"/>
  <c r="C15" i="18" s="1"/>
  <c r="C16" i="18" s="1"/>
  <c r="C25" i="76" s="1"/>
  <c r="G10" i="18"/>
  <c r="D10" i="19"/>
  <c r="D11" i="19" s="1"/>
  <c r="D12" i="19" s="1"/>
  <c r="C10" i="9"/>
  <c r="C11" i="9" s="1"/>
  <c r="C12" i="9" s="1"/>
  <c r="G10" i="9"/>
  <c r="H8" i="79"/>
  <c r="H9" i="79" s="1"/>
  <c r="H41" i="76" s="1"/>
  <c r="H4" i="49"/>
  <c r="I4" i="49" s="1"/>
  <c r="J4" i="49" s="1"/>
  <c r="K4" i="49" s="1"/>
  <c r="F10" i="17"/>
  <c r="H4" i="51"/>
  <c r="I4" i="51" s="1"/>
  <c r="J4" i="51" s="1"/>
  <c r="K4" i="51" s="1"/>
  <c r="B10" i="58"/>
  <c r="B11" i="58" s="1"/>
  <c r="B12" i="58" s="1"/>
  <c r="F10" i="58"/>
  <c r="F11" i="58" s="1"/>
  <c r="F12" i="58" s="1"/>
  <c r="D3" i="47"/>
  <c r="D3" i="38"/>
  <c r="F8" i="5"/>
  <c r="G8" i="5" s="1"/>
  <c r="H8" i="5" s="1"/>
  <c r="I8" i="5" s="1"/>
  <c r="J8" i="5" s="1"/>
  <c r="K8" i="5" s="1"/>
  <c r="F8" i="17"/>
  <c r="G8" i="17" s="1"/>
  <c r="H8" i="17" s="1"/>
  <c r="I8" i="17" s="1"/>
  <c r="J8" i="17" s="1"/>
  <c r="K8" i="17" s="1"/>
  <c r="F7" i="14"/>
  <c r="G7" i="14" s="1"/>
  <c r="H7" i="14" s="1"/>
  <c r="I7" i="14" s="1"/>
  <c r="J7" i="14" s="1"/>
  <c r="K7" i="14" s="1"/>
  <c r="F8" i="14"/>
  <c r="G8" i="14" s="1"/>
  <c r="H8" i="14" s="1"/>
  <c r="I8" i="14" s="1"/>
  <c r="J8" i="14" s="1"/>
  <c r="K8" i="14" s="1"/>
  <c r="F8" i="3"/>
  <c r="G8" i="3" s="1"/>
  <c r="H8" i="3" s="1"/>
  <c r="I8" i="3" s="1"/>
  <c r="J8" i="3" s="1"/>
  <c r="K8" i="3" s="1"/>
  <c r="F8" i="6"/>
  <c r="G8" i="6" s="1"/>
  <c r="H8" i="6" s="1"/>
  <c r="I8" i="6" s="1"/>
  <c r="J8" i="6" s="1"/>
  <c r="K8" i="6" s="1"/>
  <c r="F8" i="9"/>
  <c r="G8" i="9" s="1"/>
  <c r="H8" i="9" s="1"/>
  <c r="I8" i="9" s="1"/>
  <c r="J8" i="9" s="1"/>
  <c r="K8" i="9" s="1"/>
  <c r="H8" i="89"/>
  <c r="I8" i="89" s="1"/>
  <c r="J8" i="89" s="1"/>
  <c r="K8" i="89" s="1"/>
  <c r="F7" i="19"/>
  <c r="G7" i="19" s="1"/>
  <c r="H7" i="19" s="1"/>
  <c r="I7" i="19" s="1"/>
  <c r="J7" i="19" s="1"/>
  <c r="K7" i="19" s="1"/>
  <c r="F8" i="19"/>
  <c r="G8" i="19" s="1"/>
  <c r="H8" i="19" s="1"/>
  <c r="I8" i="19" s="1"/>
  <c r="J8" i="19" s="1"/>
  <c r="K8" i="19" s="1"/>
  <c r="H8" i="86"/>
  <c r="I8" i="86" s="1"/>
  <c r="J8" i="86" s="1"/>
  <c r="K8" i="86" s="1"/>
  <c r="H8" i="80"/>
  <c r="I8" i="80" s="1"/>
  <c r="J8" i="80" s="1"/>
  <c r="K8" i="80" s="1"/>
  <c r="F8" i="29"/>
  <c r="G8" i="29" s="1"/>
  <c r="H8" i="29" s="1"/>
  <c r="I8" i="29" s="1"/>
  <c r="J8" i="29" s="1"/>
  <c r="K8" i="29" s="1"/>
  <c r="H8" i="83"/>
  <c r="I8" i="83" s="1"/>
  <c r="J8" i="83" s="1"/>
  <c r="K8" i="83" s="1"/>
  <c r="H8" i="81"/>
  <c r="I8" i="81" s="1"/>
  <c r="J8" i="81" s="1"/>
  <c r="K8" i="81" s="1"/>
  <c r="H8" i="87"/>
  <c r="I8" i="87" s="1"/>
  <c r="J8" i="87" s="1"/>
  <c r="K8" i="87" s="1"/>
  <c r="E10" i="29"/>
  <c r="E11" i="29" s="1"/>
  <c r="E12" i="29" s="1"/>
  <c r="H4" i="29"/>
  <c r="I4" i="29" s="1"/>
  <c r="J4" i="29" s="1"/>
  <c r="K4" i="29" s="1"/>
  <c r="H3" i="15"/>
  <c r="H4" i="15"/>
  <c r="I4" i="15" s="1"/>
  <c r="J4" i="15" s="1"/>
  <c r="K4" i="15" s="1"/>
  <c r="C10" i="44"/>
  <c r="C11" i="44" s="1"/>
  <c r="C12" i="44" s="1"/>
  <c r="D3" i="44"/>
  <c r="D5" i="44" s="1"/>
  <c r="F10" i="80"/>
  <c r="F11" i="80" s="1"/>
  <c r="F12" i="80" s="1"/>
  <c r="C10" i="8"/>
  <c r="G10" i="8"/>
  <c r="H4" i="90"/>
  <c r="I4" i="90" s="1"/>
  <c r="J4" i="90" s="1"/>
  <c r="K4" i="90" s="1"/>
  <c r="E10" i="90"/>
  <c r="D10" i="90"/>
  <c r="D11" i="90" s="1"/>
  <c r="D12" i="90" s="1"/>
  <c r="H4" i="31"/>
  <c r="F6" i="16"/>
  <c r="B10" i="81"/>
  <c r="B11" i="81" s="1"/>
  <c r="B12" i="81" s="1"/>
  <c r="H4" i="84"/>
  <c r="I4" i="84" s="1"/>
  <c r="J4" i="84" s="1"/>
  <c r="K4" i="84" s="1"/>
  <c r="G10" i="82"/>
  <c r="G11" i="82" s="1"/>
  <c r="G12" i="82" s="1"/>
  <c r="F3" i="29"/>
  <c r="F5" i="29" s="1"/>
  <c r="C10" i="29"/>
  <c r="C11" i="29" s="1"/>
  <c r="C12" i="29" s="1"/>
  <c r="E10" i="87"/>
  <c r="E11" i="87" s="1"/>
  <c r="E12" i="87" s="1"/>
  <c r="F10" i="87"/>
  <c r="F11" i="87" s="1"/>
  <c r="F12" i="87" s="1"/>
  <c r="E10" i="82"/>
  <c r="E11" i="82" s="1"/>
  <c r="E12" i="82" s="1"/>
  <c r="H3" i="82"/>
  <c r="H8" i="82"/>
  <c r="I8" i="82" s="1"/>
  <c r="J8" i="82" s="1"/>
  <c r="K8" i="82" s="1"/>
  <c r="F8" i="8"/>
  <c r="G8" i="8" s="1"/>
  <c r="H4" i="8"/>
  <c r="I4" i="8" s="1"/>
  <c r="J4" i="8" s="1"/>
  <c r="K4" i="8" s="1"/>
  <c r="H3" i="8"/>
  <c r="C10" i="33"/>
  <c r="C11" i="33" s="1"/>
  <c r="C12" i="33" s="1"/>
  <c r="D3" i="33"/>
  <c r="D5" i="33" s="1"/>
  <c r="F6" i="15"/>
  <c r="C10" i="36"/>
  <c r="C11" i="36" s="1"/>
  <c r="C12" i="36" s="1"/>
  <c r="D3" i="36"/>
  <c r="D5" i="36" s="1"/>
  <c r="E12" i="8"/>
  <c r="I3" i="16"/>
  <c r="H4" i="16"/>
  <c r="F7" i="16"/>
  <c r="G7" i="16" s="1"/>
  <c r="H7" i="16" s="1"/>
  <c r="I7" i="16" s="1"/>
  <c r="J7" i="16" s="1"/>
  <c r="K7" i="16" s="1"/>
  <c r="D10" i="87"/>
  <c r="D11" i="87" s="1"/>
  <c r="D12" i="87" s="1"/>
  <c r="C3" i="46"/>
  <c r="B4" i="46"/>
  <c r="F10" i="81"/>
  <c r="F11" i="81" s="1"/>
  <c r="F12" i="81" s="1"/>
  <c r="B10" i="72"/>
  <c r="B11" i="72" s="1"/>
  <c r="B12" i="72" s="1"/>
  <c r="H4" i="72"/>
  <c r="F3" i="72"/>
  <c r="F5" i="72" s="1"/>
  <c r="B12" i="8"/>
  <c r="F10" i="88"/>
  <c r="F11" i="88" s="1"/>
  <c r="F12" i="88" s="1"/>
  <c r="C10" i="6"/>
  <c r="C11" i="6" s="1"/>
  <c r="C12" i="6" s="1"/>
  <c r="G10" i="6"/>
  <c r="D10" i="8"/>
  <c r="D12" i="8" s="1"/>
  <c r="H8" i="90"/>
  <c r="I8" i="90" s="1"/>
  <c r="J8" i="90" s="1"/>
  <c r="K8" i="90" s="1"/>
  <c r="H4" i="81"/>
  <c r="H3" i="81"/>
  <c r="H3" i="86"/>
  <c r="H4" i="86"/>
  <c r="I4" i="86" s="1"/>
  <c r="J4" i="86" s="1"/>
  <c r="K4" i="86" s="1"/>
  <c r="C10" i="81"/>
  <c r="C11" i="81" s="1"/>
  <c r="C12" i="81" s="1"/>
  <c r="C10" i="45"/>
  <c r="C11" i="45" s="1"/>
  <c r="C12" i="45" s="1"/>
  <c r="D3" i="45"/>
  <c r="D5" i="45" s="1"/>
  <c r="H4" i="80"/>
  <c r="I4" i="80" s="1"/>
  <c r="J4" i="80" s="1"/>
  <c r="K4" i="80" s="1"/>
  <c r="H3" i="80"/>
  <c r="H5" i="80" s="1"/>
  <c r="H4" i="11"/>
  <c r="I4" i="11" s="1"/>
  <c r="J4" i="11" s="1"/>
  <c r="K4" i="11" s="1"/>
  <c r="H3" i="11"/>
  <c r="H5" i="11" s="1"/>
  <c r="B10" i="86"/>
  <c r="B11" i="86" s="1"/>
  <c r="B12" i="86" s="1"/>
  <c r="D3" i="48"/>
  <c r="C4" i="48"/>
  <c r="C5" i="48" s="1"/>
  <c r="C10" i="34"/>
  <c r="C11" i="34" s="1"/>
  <c r="C12" i="34" s="1"/>
  <c r="D10" i="86"/>
  <c r="D11" i="86" s="1"/>
  <c r="D12" i="86" s="1"/>
  <c r="H3" i="9"/>
  <c r="H4" i="9"/>
  <c r="I4" i="9" s="1"/>
  <c r="J4" i="9" s="1"/>
  <c r="K4" i="9" s="1"/>
  <c r="H8" i="84"/>
  <c r="I8" i="84" s="1"/>
  <c r="J8" i="84" s="1"/>
  <c r="K8" i="84" s="1"/>
  <c r="H3" i="88"/>
  <c r="E10" i="88"/>
  <c r="E11" i="88" s="1"/>
  <c r="E12" i="88" s="1"/>
  <c r="D3" i="42"/>
  <c r="H4" i="42"/>
  <c r="I4" i="42" s="1"/>
  <c r="J4" i="42" s="1"/>
  <c r="K4" i="42" s="1"/>
  <c r="F6" i="11"/>
  <c r="H3" i="19"/>
  <c r="H4" i="19"/>
  <c r="I4" i="19" s="1"/>
  <c r="J4" i="19" s="1"/>
  <c r="K4" i="19" s="1"/>
  <c r="H4" i="43"/>
  <c r="I4" i="43" s="1"/>
  <c r="J4" i="43" s="1"/>
  <c r="K4" i="43" s="1"/>
  <c r="G10" i="72"/>
  <c r="G11" i="72" s="1"/>
  <c r="G12" i="72" s="1"/>
  <c r="E10" i="72"/>
  <c r="E11" i="72" s="1"/>
  <c r="E12" i="72" s="1"/>
  <c r="C10" i="72"/>
  <c r="C11" i="72" s="1"/>
  <c r="C12" i="72" s="1"/>
  <c r="H8" i="88"/>
  <c r="I8" i="88" s="1"/>
  <c r="J8" i="88" s="1"/>
  <c r="K8" i="88" s="1"/>
  <c r="H4" i="88"/>
  <c r="D10" i="80"/>
  <c r="D11" i="80" s="1"/>
  <c r="D12" i="80" s="1"/>
  <c r="B10" i="80"/>
  <c r="B11" i="80" s="1"/>
  <c r="B12" i="80" s="1"/>
  <c r="H3" i="18"/>
  <c r="H4" i="18"/>
  <c r="I4" i="18" s="1"/>
  <c r="J4" i="18" s="1"/>
  <c r="K4" i="18" s="1"/>
  <c r="E10" i="34"/>
  <c r="E11" i="34" s="1"/>
  <c r="E12" i="34" s="1"/>
  <c r="H3" i="34"/>
  <c r="B10" i="3"/>
  <c r="B11" i="3" s="1"/>
  <c r="B12" i="3" s="1"/>
  <c r="F10" i="3"/>
  <c r="H3" i="14"/>
  <c r="H5" i="14" s="1"/>
  <c r="F10" i="14"/>
  <c r="F11" i="14"/>
  <c r="B10" i="50"/>
  <c r="B11" i="50" s="1"/>
  <c r="B12" i="50" s="1"/>
  <c r="C3" i="50"/>
  <c r="C5" i="50" s="1"/>
  <c r="C3" i="71"/>
  <c r="C5" i="71" s="1"/>
  <c r="E3" i="71"/>
  <c r="E5" i="71" s="1"/>
  <c r="B4" i="48"/>
  <c r="H3" i="89"/>
  <c r="H5" i="89" s="1"/>
  <c r="B10" i="37"/>
  <c r="B11" i="37" s="1"/>
  <c r="B12" i="37" s="1"/>
  <c r="C3" i="37"/>
  <c r="C5" i="37" s="1"/>
  <c r="H4" i="37"/>
  <c r="I4" i="37" s="1"/>
  <c r="J4" i="37" s="1"/>
  <c r="K4" i="37" s="1"/>
  <c r="H4" i="71"/>
  <c r="F6" i="6"/>
  <c r="H3" i="6"/>
  <c r="H4" i="6"/>
  <c r="I4" i="6" s="1"/>
  <c r="J4" i="6" s="1"/>
  <c r="K4" i="6" s="1"/>
  <c r="D10" i="3"/>
  <c r="D11" i="3" s="1"/>
  <c r="D12" i="3" s="1"/>
  <c r="G10" i="14"/>
  <c r="E7" i="79"/>
  <c r="E8" i="79" s="1"/>
  <c r="E9" i="79" s="1"/>
  <c r="E41" i="76" s="1"/>
  <c r="I7" i="79"/>
  <c r="I8" i="79" s="1"/>
  <c r="I9" i="79" s="1"/>
  <c r="I41" i="76" s="1"/>
  <c r="B10" i="4"/>
  <c r="B11" i="4" s="1"/>
  <c r="B12" i="4" s="1"/>
  <c r="F10" i="4"/>
  <c r="F11" i="4" s="1"/>
  <c r="F12" i="4" s="1"/>
  <c r="C8" i="79"/>
  <c r="C9" i="79" s="1"/>
  <c r="C41" i="76" s="1"/>
  <c r="G7" i="79"/>
  <c r="G8" i="79" s="1"/>
  <c r="G9" i="79" s="1"/>
  <c r="G41" i="76" s="1"/>
  <c r="K7" i="79"/>
  <c r="K8" i="79" s="1"/>
  <c r="K9" i="79" s="1"/>
  <c r="K41" i="76" s="1"/>
  <c r="G11" i="14"/>
  <c r="D10" i="83"/>
  <c r="D11" i="83" s="1"/>
  <c r="D12" i="83" s="1"/>
  <c r="B10" i="35"/>
  <c r="B11" i="35" s="1"/>
  <c r="B12" i="35" s="1"/>
  <c r="C10" i="17"/>
  <c r="C11" i="17" s="1"/>
  <c r="C12" i="17" s="1"/>
  <c r="G10" i="17"/>
  <c r="B10" i="17"/>
  <c r="B11" i="17" s="1"/>
  <c r="B12" i="17" s="1"/>
  <c r="G10" i="5"/>
  <c r="E4" i="10"/>
  <c r="F4" i="10" s="1"/>
  <c r="G4" i="10" s="1"/>
  <c r="H4" i="10" s="1"/>
  <c r="I4" i="10" s="1"/>
  <c r="J4" i="10" s="1"/>
  <c r="K4" i="10" s="1"/>
  <c r="C10" i="3"/>
  <c r="C11" i="3" s="1"/>
  <c r="C12" i="3" s="1"/>
  <c r="G10" i="3"/>
  <c r="E10" i="83"/>
  <c r="E11" i="83" s="1"/>
  <c r="E12" i="83" s="1"/>
  <c r="D10" i="17"/>
  <c r="D11" i="17" s="1"/>
  <c r="D12" i="17" s="1"/>
  <c r="H4" i="17"/>
  <c r="I4" i="17" s="1"/>
  <c r="J4" i="17" s="1"/>
  <c r="K4" i="17" s="1"/>
  <c r="C3" i="49"/>
  <c r="C5" i="49" s="1"/>
  <c r="B10" i="49"/>
  <c r="B11" i="49" s="1"/>
  <c r="B12" i="49" s="1"/>
  <c r="C4" i="35"/>
  <c r="C5" i="35" s="1"/>
  <c r="D3" i="35"/>
  <c r="H4" i="7"/>
  <c r="C10" i="10"/>
  <c r="H3" i="17"/>
  <c r="H5" i="17" s="1"/>
  <c r="C10" i="4"/>
  <c r="C11" i="4" s="1"/>
  <c r="C12" i="4" s="1"/>
  <c r="G10" i="4"/>
  <c r="G11" i="4" s="1"/>
  <c r="G12" i="4" s="1"/>
  <c r="H4" i="47"/>
  <c r="I4" i="47" s="1"/>
  <c r="J4" i="47" s="1"/>
  <c r="K4" i="47" s="1"/>
  <c r="D3" i="41"/>
  <c r="D5" i="41" s="1"/>
  <c r="B11" i="13"/>
  <c r="B12" i="13" s="1"/>
  <c r="F10" i="13"/>
  <c r="F8" i="7"/>
  <c r="G8" i="7" s="1"/>
  <c r="H8" i="7" s="1"/>
  <c r="I8" i="7" s="1"/>
  <c r="J8" i="7" s="1"/>
  <c r="K8" i="7" s="1"/>
  <c r="B10" i="5"/>
  <c r="B11" i="5" s="1"/>
  <c r="B12" i="5" s="1"/>
  <c r="F10" i="5"/>
  <c r="F8" i="10"/>
  <c r="G8" i="10" s="1"/>
  <c r="H8" i="10" s="1"/>
  <c r="I8" i="10" s="1"/>
  <c r="J8" i="10" s="1"/>
  <c r="K8" i="10" s="1"/>
  <c r="H4" i="41"/>
  <c r="I4" i="41" s="1"/>
  <c r="J4" i="41" s="1"/>
  <c r="K4" i="41" s="1"/>
  <c r="B10" i="32"/>
  <c r="B11" i="32" s="1"/>
  <c r="B12" i="32" s="1"/>
  <c r="C3" i="32"/>
  <c r="C5" i="32" s="1"/>
  <c r="C10" i="13"/>
  <c r="C11" i="13" s="1"/>
  <c r="C12" i="13" s="1"/>
  <c r="G10" i="13"/>
  <c r="D10" i="58"/>
  <c r="D11" i="58" s="1"/>
  <c r="D12" i="58" s="1"/>
  <c r="F8" i="13"/>
  <c r="G8" i="13" s="1"/>
  <c r="H8" i="13" s="1"/>
  <c r="I8" i="13" s="1"/>
  <c r="J8" i="13" s="1"/>
  <c r="K8" i="13" s="1"/>
  <c r="D10" i="51"/>
  <c r="D11" i="51" s="1"/>
  <c r="D12" i="51" s="1"/>
  <c r="F10" i="51"/>
  <c r="F11" i="51" s="1"/>
  <c r="F12" i="51" s="1"/>
  <c r="H3" i="13"/>
  <c r="H4" i="13"/>
  <c r="I4" i="13" s="1"/>
  <c r="J4" i="13" s="1"/>
  <c r="K4" i="13" s="1"/>
  <c r="C10" i="51"/>
  <c r="C11" i="51" s="1"/>
  <c r="C12" i="51" s="1"/>
  <c r="G10" i="51"/>
  <c r="G11" i="51" s="1"/>
  <c r="G12" i="51" s="1"/>
  <c r="H3" i="51"/>
  <c r="H5" i="51" s="1"/>
  <c r="H5" i="34" l="1"/>
  <c r="B11" i="41"/>
  <c r="B12" i="41" s="1"/>
  <c r="B14" i="41" s="1"/>
  <c r="B15" i="41" s="1"/>
  <c r="B16" i="41" s="1"/>
  <c r="B52" i="76" s="1"/>
  <c r="H5" i="13"/>
  <c r="H10" i="13" s="1"/>
  <c r="B11" i="19"/>
  <c r="B12" i="19" s="1"/>
  <c r="B14" i="19" s="1"/>
  <c r="B15" i="19" s="1"/>
  <c r="B16" i="19" s="1"/>
  <c r="B28" i="76" s="1"/>
  <c r="B5" i="48"/>
  <c r="B10" i="48" s="1"/>
  <c r="B11" i="48" s="1"/>
  <c r="B12" i="48" s="1"/>
  <c r="B14" i="48" s="1"/>
  <c r="B15" i="48" s="1"/>
  <c r="B16" i="48" s="1"/>
  <c r="B30" i="76" s="1"/>
  <c r="B5" i="46"/>
  <c r="B10" i="46" s="1"/>
  <c r="B11" i="46" s="1"/>
  <c r="B12" i="46" s="1"/>
  <c r="B14" i="46" s="1"/>
  <c r="B15" i="46" s="1"/>
  <c r="B16" i="46" s="1"/>
  <c r="B16" i="76" s="1"/>
  <c r="H5" i="6"/>
  <c r="H5" i="9"/>
  <c r="C10" i="48"/>
  <c r="C11" i="48" s="1"/>
  <c r="C12" i="48" s="1"/>
  <c r="H5" i="86"/>
  <c r="H10" i="86" s="1"/>
  <c r="H11" i="86" s="1"/>
  <c r="H12" i="86" s="1"/>
  <c r="D5" i="38"/>
  <c r="D10" i="38" s="1"/>
  <c r="E3" i="10"/>
  <c r="D5" i="10"/>
  <c r="D10" i="10" s="1"/>
  <c r="D11" i="10" s="1"/>
  <c r="D12" i="10" s="1"/>
  <c r="E3" i="47"/>
  <c r="E5" i="47" s="1"/>
  <c r="E10" i="47" s="1"/>
  <c r="E11" i="47" s="1"/>
  <c r="E12" i="47" s="1"/>
  <c r="D5" i="47"/>
  <c r="D5" i="71"/>
  <c r="D10" i="71" s="1"/>
  <c r="D11" i="71" s="1"/>
  <c r="D12" i="71" s="1"/>
  <c r="D14" i="71" s="1"/>
  <c r="D15" i="71" s="1"/>
  <c r="D16" i="71" s="1"/>
  <c r="D36" i="76" s="1"/>
  <c r="C10" i="35"/>
  <c r="C11" i="35" s="1"/>
  <c r="C12" i="35" s="1"/>
  <c r="H5" i="18"/>
  <c r="H10" i="18" s="1"/>
  <c r="I3" i="7"/>
  <c r="H5" i="7"/>
  <c r="G5" i="71"/>
  <c r="G10" i="71" s="1"/>
  <c r="G11" i="71" s="1"/>
  <c r="G12" i="71" s="1"/>
  <c r="G14" i="71" s="1"/>
  <c r="G15" i="71" s="1"/>
  <c r="G16" i="71" s="1"/>
  <c r="G36" i="76" s="1"/>
  <c r="F5" i="71"/>
  <c r="F10" i="71" s="1"/>
  <c r="F11" i="71" s="1"/>
  <c r="F12" i="71" s="1"/>
  <c r="F14" i="71" s="1"/>
  <c r="F15" i="71" s="1"/>
  <c r="F16" i="71" s="1"/>
  <c r="F36" i="76" s="1"/>
  <c r="I4" i="88"/>
  <c r="H5" i="88"/>
  <c r="I4" i="45"/>
  <c r="I4" i="40"/>
  <c r="I4" i="81"/>
  <c r="H5" i="81"/>
  <c r="H10" i="81" s="1"/>
  <c r="H11" i="81" s="1"/>
  <c r="H12" i="81" s="1"/>
  <c r="I4" i="87"/>
  <c r="I4" i="16"/>
  <c r="H5" i="16"/>
  <c r="H10" i="16" s="1"/>
  <c r="I4" i="36"/>
  <c r="I4" i="31"/>
  <c r="I4" i="44"/>
  <c r="H5" i="15"/>
  <c r="I4" i="33"/>
  <c r="H5" i="8"/>
  <c r="H10" i="8" s="1"/>
  <c r="I4" i="82"/>
  <c r="H5" i="82"/>
  <c r="H10" i="82" s="1"/>
  <c r="H11" i="82" s="1"/>
  <c r="H12" i="82" s="1"/>
  <c r="H5" i="19"/>
  <c r="H10" i="19" s="1"/>
  <c r="G6" i="14"/>
  <c r="H6" i="14" s="1"/>
  <c r="B10" i="71"/>
  <c r="B11" i="71" s="1"/>
  <c r="B12" i="71" s="1"/>
  <c r="B14" i="71" s="1"/>
  <c r="B15" i="71" s="1"/>
  <c r="B16" i="71" s="1"/>
  <c r="B36" i="76" s="1"/>
  <c r="E3" i="38"/>
  <c r="F11" i="3"/>
  <c r="F12" i="3" s="1"/>
  <c r="F14" i="3" s="1"/>
  <c r="F15" i="3" s="1"/>
  <c r="F16" i="3" s="1"/>
  <c r="F40" i="76" s="1"/>
  <c r="F10" i="19"/>
  <c r="F11" i="19" s="1"/>
  <c r="F12" i="19" s="1"/>
  <c r="F11" i="15"/>
  <c r="F12" i="15" s="1"/>
  <c r="D10" i="47"/>
  <c r="D11" i="47" s="1"/>
  <c r="D12" i="47" s="1"/>
  <c r="D14" i="47" s="1"/>
  <c r="D15" i="47" s="1"/>
  <c r="D16" i="47" s="1"/>
  <c r="D51" i="76" s="1"/>
  <c r="C12" i="8"/>
  <c r="C14" i="8" s="1"/>
  <c r="C15" i="8" s="1"/>
  <c r="C16" i="8" s="1"/>
  <c r="C6" i="76" s="1"/>
  <c r="B12" i="14"/>
  <c r="B14" i="14" s="1"/>
  <c r="B15" i="14" s="1"/>
  <c r="B16" i="14" s="1"/>
  <c r="B42" i="76" s="1"/>
  <c r="G10" i="19"/>
  <c r="F11" i="5"/>
  <c r="F12" i="5" s="1"/>
  <c r="F14" i="5" s="1"/>
  <c r="F15" i="5" s="1"/>
  <c r="F16" i="5" s="1"/>
  <c r="F48" i="76" s="1"/>
  <c r="G11" i="5"/>
  <c r="G12" i="5" s="1"/>
  <c r="G14" i="5" s="1"/>
  <c r="G15" i="5" s="1"/>
  <c r="G16" i="5" s="1"/>
  <c r="G48" i="76" s="1"/>
  <c r="F6" i="14"/>
  <c r="F12" i="14" s="1"/>
  <c r="F14" i="14" s="1"/>
  <c r="F15" i="14" s="1"/>
  <c r="F16" i="14" s="1"/>
  <c r="F42" i="76" s="1"/>
  <c r="G11" i="3"/>
  <c r="G12" i="3" s="1"/>
  <c r="G14" i="3" s="1"/>
  <c r="G15" i="3" s="1"/>
  <c r="G16" i="3" s="1"/>
  <c r="G40" i="76" s="1"/>
  <c r="F11" i="6"/>
  <c r="F12" i="6" s="1"/>
  <c r="F11" i="9"/>
  <c r="B16" i="9"/>
  <c r="B33" i="76" s="1"/>
  <c r="B16" i="45"/>
  <c r="B20" i="76" s="1"/>
  <c r="B16" i="47"/>
  <c r="B51" i="76" s="1"/>
  <c r="C14" i="83"/>
  <c r="C15" i="83" s="1"/>
  <c r="C16" i="83" s="1"/>
  <c r="C44" i="76" s="1"/>
  <c r="C14" i="17"/>
  <c r="C15" i="17" s="1"/>
  <c r="C16" i="17" s="1"/>
  <c r="C46" i="76" s="1"/>
  <c r="F14" i="4"/>
  <c r="F15" i="4" s="1"/>
  <c r="F16" i="4" s="1"/>
  <c r="F50" i="76" s="1"/>
  <c r="B14" i="6"/>
  <c r="B15" i="6" s="1"/>
  <c r="B16" i="6" s="1"/>
  <c r="B37" i="76" s="1"/>
  <c r="E14" i="9"/>
  <c r="E15" i="9" s="1"/>
  <c r="E16" i="9" s="1"/>
  <c r="E33" i="76" s="1"/>
  <c r="B14" i="11"/>
  <c r="B15" i="11" s="1"/>
  <c r="B16" i="11" s="1"/>
  <c r="B24" i="76" s="1"/>
  <c r="E14" i="88"/>
  <c r="E15" i="88" s="1"/>
  <c r="E16" i="88" s="1"/>
  <c r="E21" i="76" s="1"/>
  <c r="C14" i="34"/>
  <c r="C15" i="34" s="1"/>
  <c r="C16" i="34" s="1"/>
  <c r="C26" i="76" s="1"/>
  <c r="E14" i="18"/>
  <c r="E15" i="18" s="1"/>
  <c r="E16" i="18" s="1"/>
  <c r="E25" i="76" s="1"/>
  <c r="B14" i="72"/>
  <c r="B15" i="72" s="1"/>
  <c r="B16" i="72" s="1"/>
  <c r="B31" i="76" s="1"/>
  <c r="F14" i="81"/>
  <c r="F15" i="81" s="1"/>
  <c r="F16" i="81" s="1"/>
  <c r="F17" i="76" s="1"/>
  <c r="F14" i="51"/>
  <c r="F15" i="51" s="1"/>
  <c r="F16" i="51" s="1"/>
  <c r="F55" i="76" s="1"/>
  <c r="D14" i="58"/>
  <c r="D15" i="58" s="1"/>
  <c r="D16" i="58" s="1"/>
  <c r="D56" i="76" s="1"/>
  <c r="G14" i="4"/>
  <c r="G15" i="4" s="1"/>
  <c r="G16" i="4" s="1"/>
  <c r="G50" i="76" s="1"/>
  <c r="D14" i="14"/>
  <c r="D15" i="14" s="1"/>
  <c r="D16" i="14" s="1"/>
  <c r="D42" i="76" s="1"/>
  <c r="B14" i="4"/>
  <c r="B15" i="4" s="1"/>
  <c r="B16" i="4" s="1"/>
  <c r="B50" i="76" s="1"/>
  <c r="C14" i="14"/>
  <c r="C15" i="14" s="1"/>
  <c r="C16" i="14" s="1"/>
  <c r="C42" i="76" s="1"/>
  <c r="B14" i="37"/>
  <c r="B15" i="37" s="1"/>
  <c r="B16" i="37" s="1"/>
  <c r="B35" i="76" s="1"/>
  <c r="B14" i="86"/>
  <c r="B15" i="86" s="1"/>
  <c r="B16" i="86" s="1"/>
  <c r="B27" i="76" s="1"/>
  <c r="D14" i="8"/>
  <c r="D15" i="8" s="1"/>
  <c r="D16" i="8" s="1"/>
  <c r="D6" i="76" s="1"/>
  <c r="G14" i="81"/>
  <c r="G15" i="81" s="1"/>
  <c r="G16" i="81" s="1"/>
  <c r="G17" i="76" s="1"/>
  <c r="D14" i="87"/>
  <c r="D15" i="87" s="1"/>
  <c r="D16" i="87" s="1"/>
  <c r="D15" i="76" s="1"/>
  <c r="F14" i="80"/>
  <c r="F15" i="80" s="1"/>
  <c r="F16" i="80" s="1"/>
  <c r="F22" i="76" s="1"/>
  <c r="B14" i="5"/>
  <c r="B15" i="5" s="1"/>
  <c r="B16" i="5" s="1"/>
  <c r="B48" i="76" s="1"/>
  <c r="D14" i="51"/>
  <c r="D15" i="51" s="1"/>
  <c r="D16" i="51" s="1"/>
  <c r="D55" i="76" s="1"/>
  <c r="E14" i="13"/>
  <c r="E15" i="13" s="1"/>
  <c r="E16" i="13" s="1"/>
  <c r="E54" i="76" s="1"/>
  <c r="E14" i="7"/>
  <c r="E15" i="7" s="1"/>
  <c r="E16" i="7" s="1"/>
  <c r="E47" i="76" s="1"/>
  <c r="B14" i="17"/>
  <c r="B15" i="17" s="1"/>
  <c r="B16" i="17" s="1"/>
  <c r="B46" i="76" s="1"/>
  <c r="D14" i="3"/>
  <c r="D15" i="3" s="1"/>
  <c r="D16" i="3" s="1"/>
  <c r="D40" i="76" s="1"/>
  <c r="E14" i="6"/>
  <c r="E15" i="6" s="1"/>
  <c r="E16" i="6" s="1"/>
  <c r="E37" i="76" s="1"/>
  <c r="E14" i="34"/>
  <c r="E15" i="34" s="1"/>
  <c r="E16" i="34" s="1"/>
  <c r="E26" i="76" s="1"/>
  <c r="D14" i="80"/>
  <c r="D15" i="80" s="1"/>
  <c r="D16" i="80" s="1"/>
  <c r="D22" i="76" s="1"/>
  <c r="C14" i="72"/>
  <c r="C15" i="72" s="1"/>
  <c r="C16" i="72" s="1"/>
  <c r="C31" i="76" s="1"/>
  <c r="D14" i="86"/>
  <c r="D15" i="86" s="1"/>
  <c r="D16" i="86" s="1"/>
  <c r="D27" i="76" s="1"/>
  <c r="C14" i="81"/>
  <c r="C15" i="81" s="1"/>
  <c r="C16" i="81" s="1"/>
  <c r="C17" i="76" s="1"/>
  <c r="C14" i="29"/>
  <c r="C15" i="29" s="1"/>
  <c r="C16" i="29" s="1"/>
  <c r="C5" i="76" s="1"/>
  <c r="B14" i="81"/>
  <c r="B15" i="81" s="1"/>
  <c r="B16" i="81" s="1"/>
  <c r="B17" i="76" s="1"/>
  <c r="C14" i="35"/>
  <c r="C15" i="35" s="1"/>
  <c r="C16" i="35" s="1"/>
  <c r="C45" i="76" s="1"/>
  <c r="C14" i="3"/>
  <c r="C15" i="3" s="1"/>
  <c r="C16" i="3" s="1"/>
  <c r="C40" i="76" s="1"/>
  <c r="D14" i="10"/>
  <c r="D15" i="10" s="1"/>
  <c r="D16" i="10" s="1"/>
  <c r="D49" i="76" s="1"/>
  <c r="E14" i="3"/>
  <c r="E15" i="3" s="1"/>
  <c r="E16" i="3" s="1"/>
  <c r="E40" i="76" s="1"/>
  <c r="B14" i="3"/>
  <c r="B15" i="3" s="1"/>
  <c r="B16" i="3" s="1"/>
  <c r="B40" i="76" s="1"/>
  <c r="E14" i="19"/>
  <c r="E15" i="19" s="1"/>
  <c r="E16" i="19" s="1"/>
  <c r="E28" i="76" s="1"/>
  <c r="G14" i="34"/>
  <c r="G15" i="34" s="1"/>
  <c r="G16" i="34" s="1"/>
  <c r="G26" i="76" s="1"/>
  <c r="C14" i="45"/>
  <c r="C15" i="45" s="1"/>
  <c r="C16" i="45" s="1"/>
  <c r="C20" i="76" s="1"/>
  <c r="C14" i="87"/>
  <c r="C15" i="87" s="1"/>
  <c r="C16" i="87" s="1"/>
  <c r="C15" i="76" s="1"/>
  <c r="B14" i="8"/>
  <c r="B15" i="8" s="1"/>
  <c r="B16" i="8" s="1"/>
  <c r="B6" i="76" s="1"/>
  <c r="C14" i="33"/>
  <c r="C15" i="33" s="1"/>
  <c r="C16" i="33" s="1"/>
  <c r="C7" i="76" s="1"/>
  <c r="C14" i="44"/>
  <c r="C15" i="44" s="1"/>
  <c r="C16" i="44" s="1"/>
  <c r="C11" i="76" s="1"/>
  <c r="H3" i="3"/>
  <c r="H4" i="3"/>
  <c r="I4" i="3" s="1"/>
  <c r="J4" i="3" s="1"/>
  <c r="K4" i="3" s="1"/>
  <c r="F10" i="72"/>
  <c r="F11" i="72" s="1"/>
  <c r="F12" i="72" s="1"/>
  <c r="E10" i="84"/>
  <c r="E11" i="84" s="1"/>
  <c r="E12" i="84" s="1"/>
  <c r="D10" i="84"/>
  <c r="D11" i="84" s="1"/>
  <c r="D12" i="84" s="1"/>
  <c r="C10" i="84"/>
  <c r="C11" i="84" s="1"/>
  <c r="C12" i="84" s="1"/>
  <c r="B10" i="84"/>
  <c r="B11" i="84" s="1"/>
  <c r="B12" i="84" s="1"/>
  <c r="G10" i="84"/>
  <c r="G11" i="84" s="1"/>
  <c r="G12" i="84" s="1"/>
  <c r="F10" i="84"/>
  <c r="F11" i="84" s="1"/>
  <c r="F12" i="84" s="1"/>
  <c r="C4" i="46"/>
  <c r="D3" i="46"/>
  <c r="D14" i="15"/>
  <c r="D15" i="15" s="1"/>
  <c r="D16" i="15" s="1"/>
  <c r="D10" i="76" s="1"/>
  <c r="E14" i="15"/>
  <c r="E15" i="15" s="1"/>
  <c r="E16" i="15" s="1"/>
  <c r="E10" i="76" s="1"/>
  <c r="H8" i="8"/>
  <c r="I8" i="8" s="1"/>
  <c r="J8" i="8" s="1"/>
  <c r="K8" i="8" s="1"/>
  <c r="I3" i="82"/>
  <c r="F14" i="87"/>
  <c r="F15" i="87" s="1"/>
  <c r="F16" i="87" s="1"/>
  <c r="F15" i="76" s="1"/>
  <c r="E14" i="87"/>
  <c r="E15" i="87" s="1"/>
  <c r="E16" i="87" s="1"/>
  <c r="E15" i="76" s="1"/>
  <c r="G6" i="16"/>
  <c r="C14" i="90"/>
  <c r="C15" i="90" s="1"/>
  <c r="C16" i="90" s="1"/>
  <c r="C9" i="76" s="1"/>
  <c r="D10" i="82"/>
  <c r="D11" i="82" s="1"/>
  <c r="D12" i="82" s="1"/>
  <c r="D10" i="44"/>
  <c r="D11" i="44" s="1"/>
  <c r="D12" i="44" s="1"/>
  <c r="E3" i="44"/>
  <c r="E5" i="44" s="1"/>
  <c r="H10" i="15"/>
  <c r="I3" i="15"/>
  <c r="I5" i="15" s="1"/>
  <c r="H10" i="51"/>
  <c r="H11" i="51" s="1"/>
  <c r="H12" i="51" s="1"/>
  <c r="I3" i="51"/>
  <c r="I5" i="51" s="1"/>
  <c r="C14" i="51"/>
  <c r="C15" i="51" s="1"/>
  <c r="C16" i="51" s="1"/>
  <c r="C55" i="76" s="1"/>
  <c r="B14" i="13"/>
  <c r="B15" i="13" s="1"/>
  <c r="B16" i="13" s="1"/>
  <c r="B54" i="76" s="1"/>
  <c r="I3" i="13"/>
  <c r="I5" i="13" s="1"/>
  <c r="E14" i="58"/>
  <c r="E15" i="58" s="1"/>
  <c r="E16" i="58" s="1"/>
  <c r="E56" i="76" s="1"/>
  <c r="G14" i="51"/>
  <c r="G15" i="51" s="1"/>
  <c r="G16" i="51" s="1"/>
  <c r="G55" i="76" s="1"/>
  <c r="B14" i="32"/>
  <c r="B15" i="32" s="1"/>
  <c r="B16" i="32" s="1"/>
  <c r="B53" i="76" s="1"/>
  <c r="C14" i="41"/>
  <c r="C15" i="41" s="1"/>
  <c r="C16" i="41" s="1"/>
  <c r="C52" i="76" s="1"/>
  <c r="C14" i="4"/>
  <c r="C15" i="4" s="1"/>
  <c r="C16" i="4" s="1"/>
  <c r="C50" i="76" s="1"/>
  <c r="D14" i="17"/>
  <c r="D15" i="17" s="1"/>
  <c r="D16" i="17" s="1"/>
  <c r="D46" i="76" s="1"/>
  <c r="E14" i="4"/>
  <c r="E15" i="4" s="1"/>
  <c r="E16" i="4" s="1"/>
  <c r="E50" i="76" s="1"/>
  <c r="E14" i="17"/>
  <c r="E15" i="17" s="1"/>
  <c r="E16" i="17" s="1"/>
  <c r="E46" i="76" s="1"/>
  <c r="G14" i="83"/>
  <c r="G15" i="83" s="1"/>
  <c r="G16" i="83" s="1"/>
  <c r="G44" i="76" s="1"/>
  <c r="C10" i="49"/>
  <c r="C11" i="49" s="1"/>
  <c r="C12" i="49" s="1"/>
  <c r="D3" i="49"/>
  <c r="D5" i="49" s="1"/>
  <c r="F10" i="83"/>
  <c r="F11" i="83" s="1"/>
  <c r="F12" i="83" s="1"/>
  <c r="E14" i="83"/>
  <c r="E15" i="83" s="1"/>
  <c r="E16" i="83" s="1"/>
  <c r="E44" i="76" s="1"/>
  <c r="I3" i="89"/>
  <c r="D14" i="19"/>
  <c r="D15" i="19" s="1"/>
  <c r="D16" i="19" s="1"/>
  <c r="D28" i="76" s="1"/>
  <c r="D3" i="50"/>
  <c r="D5" i="50" s="1"/>
  <c r="C10" i="50"/>
  <c r="C11" i="50" s="1"/>
  <c r="C12" i="50" s="1"/>
  <c r="D14" i="6"/>
  <c r="D15" i="6" s="1"/>
  <c r="D16" i="6" s="1"/>
  <c r="D37" i="76" s="1"/>
  <c r="B10" i="43"/>
  <c r="B11" i="43" s="1"/>
  <c r="B12" i="43" s="1"/>
  <c r="C3" i="43"/>
  <c r="C5" i="43" s="1"/>
  <c r="D14" i="18"/>
  <c r="D15" i="18" s="1"/>
  <c r="D16" i="18" s="1"/>
  <c r="D25" i="76" s="1"/>
  <c r="B14" i="80"/>
  <c r="B15" i="80" s="1"/>
  <c r="B16" i="80" s="1"/>
  <c r="B22" i="76" s="1"/>
  <c r="C14" i="9"/>
  <c r="C15" i="9" s="1"/>
  <c r="C16" i="9" s="1"/>
  <c r="C33" i="76" s="1"/>
  <c r="C14" i="48"/>
  <c r="C15" i="48" s="1"/>
  <c r="C16" i="48" s="1"/>
  <c r="C30" i="76" s="1"/>
  <c r="H10" i="11"/>
  <c r="I3" i="11"/>
  <c r="I5" i="11" s="1"/>
  <c r="H10" i="80"/>
  <c r="H11" i="80" s="1"/>
  <c r="H12" i="80" s="1"/>
  <c r="I3" i="80"/>
  <c r="I5" i="80" s="1"/>
  <c r="B10" i="40"/>
  <c r="B11" i="40" s="1"/>
  <c r="B12" i="40" s="1"/>
  <c r="C3" i="40"/>
  <c r="C5" i="40" s="1"/>
  <c r="G14" i="86"/>
  <c r="G15" i="86" s="1"/>
  <c r="G16" i="86" s="1"/>
  <c r="G27" i="76" s="1"/>
  <c r="C10" i="88"/>
  <c r="C11" i="88" s="1"/>
  <c r="C12" i="88" s="1"/>
  <c r="E14" i="81"/>
  <c r="E15" i="81" s="1"/>
  <c r="E16" i="81" s="1"/>
  <c r="E17" i="76" s="1"/>
  <c r="C14" i="6"/>
  <c r="C15" i="6" s="1"/>
  <c r="C16" i="6" s="1"/>
  <c r="C37" i="76" s="1"/>
  <c r="G10" i="80"/>
  <c r="G11" i="80" s="1"/>
  <c r="G12" i="80" s="1"/>
  <c r="B14" i="15"/>
  <c r="B15" i="15" s="1"/>
  <c r="B16" i="15" s="1"/>
  <c r="B10" i="76" s="1"/>
  <c r="D14" i="29"/>
  <c r="D15" i="29" s="1"/>
  <c r="D16" i="29" s="1"/>
  <c r="D5" i="76" s="1"/>
  <c r="F14" i="58"/>
  <c r="F15" i="58" s="1"/>
  <c r="F16" i="58" s="1"/>
  <c r="F56" i="76" s="1"/>
  <c r="D14" i="13"/>
  <c r="D15" i="13" s="1"/>
  <c r="D16" i="13" s="1"/>
  <c r="D54" i="76" s="1"/>
  <c r="G14" i="58"/>
  <c r="G15" i="58" s="1"/>
  <c r="G16" i="58" s="1"/>
  <c r="G56" i="76" s="1"/>
  <c r="B14" i="10"/>
  <c r="B15" i="10" s="1"/>
  <c r="B16" i="10" s="1"/>
  <c r="B49" i="76" s="1"/>
  <c r="H10" i="17"/>
  <c r="I3" i="17"/>
  <c r="I5" i="17" s="1"/>
  <c r="C11" i="10"/>
  <c r="C12" i="10" s="1"/>
  <c r="E14" i="14"/>
  <c r="E15" i="14" s="1"/>
  <c r="E16" i="14" s="1"/>
  <c r="E42" i="76" s="1"/>
  <c r="C14" i="5"/>
  <c r="C15" i="5" s="1"/>
  <c r="C16" i="5" s="1"/>
  <c r="C48" i="76" s="1"/>
  <c r="B14" i="35"/>
  <c r="B15" i="35" s="1"/>
  <c r="B16" i="35" s="1"/>
  <c r="B45" i="76" s="1"/>
  <c r="H3" i="71"/>
  <c r="H5" i="71" s="1"/>
  <c r="I4" i="71"/>
  <c r="E14" i="72"/>
  <c r="E15" i="72" s="1"/>
  <c r="E16" i="72" s="1"/>
  <c r="E31" i="76" s="1"/>
  <c r="F14" i="86"/>
  <c r="F15" i="86" s="1"/>
  <c r="F16" i="86" s="1"/>
  <c r="F27" i="76" s="1"/>
  <c r="B14" i="50"/>
  <c r="B15" i="50" s="1"/>
  <c r="B16" i="50" s="1"/>
  <c r="B34" i="76" s="1"/>
  <c r="G14" i="72"/>
  <c r="G15" i="72" s="1"/>
  <c r="G16" i="72" s="1"/>
  <c r="G31" i="76" s="1"/>
  <c r="F10" i="89"/>
  <c r="F11" i="89" s="1"/>
  <c r="F12" i="89" s="1"/>
  <c r="B10" i="89"/>
  <c r="B11" i="89" s="1"/>
  <c r="B12" i="89" s="1"/>
  <c r="H10" i="89"/>
  <c r="H11" i="89" s="1"/>
  <c r="H12" i="89" s="1"/>
  <c r="D10" i="89"/>
  <c r="D11" i="89" s="1"/>
  <c r="D12" i="89" s="1"/>
  <c r="E10" i="89"/>
  <c r="E11" i="89" s="1"/>
  <c r="E12" i="89" s="1"/>
  <c r="C10" i="89"/>
  <c r="C11" i="89" s="1"/>
  <c r="C12" i="89" s="1"/>
  <c r="G10" i="89"/>
  <c r="G11" i="89" s="1"/>
  <c r="G12" i="89" s="1"/>
  <c r="I3" i="34"/>
  <c r="I5" i="34" s="1"/>
  <c r="H10" i="34"/>
  <c r="H11" i="34" s="1"/>
  <c r="H12" i="34" s="1"/>
  <c r="I3" i="18"/>
  <c r="I5" i="18" s="1"/>
  <c r="B14" i="18"/>
  <c r="B15" i="18" s="1"/>
  <c r="B16" i="18" s="1"/>
  <c r="B25" i="76" s="1"/>
  <c r="D4" i="48"/>
  <c r="E3" i="48"/>
  <c r="D10" i="88"/>
  <c r="D11" i="88" s="1"/>
  <c r="D12" i="88" s="1"/>
  <c r="D10" i="45"/>
  <c r="D11" i="45" s="1"/>
  <c r="D12" i="45" s="1"/>
  <c r="E3" i="45"/>
  <c r="E5" i="45" s="1"/>
  <c r="D14" i="34"/>
  <c r="D15" i="34" s="1"/>
  <c r="D16" i="34" s="1"/>
  <c r="D26" i="76" s="1"/>
  <c r="E14" i="11"/>
  <c r="E15" i="11" s="1"/>
  <c r="E16" i="11" s="1"/>
  <c r="E24" i="76" s="1"/>
  <c r="F14" i="88"/>
  <c r="F15" i="88" s="1"/>
  <c r="F16" i="88" s="1"/>
  <c r="F21" i="76" s="1"/>
  <c r="C14" i="16"/>
  <c r="C15" i="16" s="1"/>
  <c r="C16" i="16" s="1"/>
  <c r="C14" i="76" s="1"/>
  <c r="B14" i="58"/>
  <c r="B15" i="58" s="1"/>
  <c r="B16" i="58" s="1"/>
  <c r="B56" i="76" s="1"/>
  <c r="C14" i="13"/>
  <c r="C15" i="13" s="1"/>
  <c r="C16" i="13" s="1"/>
  <c r="C54" i="76" s="1"/>
  <c r="E14" i="51"/>
  <c r="E15" i="51" s="1"/>
  <c r="E16" i="51" s="1"/>
  <c r="E55" i="76" s="1"/>
  <c r="C14" i="58"/>
  <c r="C15" i="58" s="1"/>
  <c r="C16" i="58" s="1"/>
  <c r="C56" i="76" s="1"/>
  <c r="C10" i="32"/>
  <c r="C11" i="32" s="1"/>
  <c r="C12" i="32" s="1"/>
  <c r="D3" i="32"/>
  <c r="D5" i="32" s="1"/>
  <c r="D14" i="4"/>
  <c r="D15" i="4" s="1"/>
  <c r="D16" i="4" s="1"/>
  <c r="D50" i="76" s="1"/>
  <c r="E14" i="5"/>
  <c r="E15" i="5" s="1"/>
  <c r="E16" i="5" s="1"/>
  <c r="E48" i="76" s="1"/>
  <c r="E3" i="35"/>
  <c r="D4" i="35"/>
  <c r="D14" i="5"/>
  <c r="D15" i="5" s="1"/>
  <c r="D16" i="5" s="1"/>
  <c r="D48" i="76" s="1"/>
  <c r="D14" i="83"/>
  <c r="D15" i="83" s="1"/>
  <c r="D16" i="83" s="1"/>
  <c r="D44" i="76" s="1"/>
  <c r="B14" i="49"/>
  <c r="B15" i="49" s="1"/>
  <c r="B16" i="49" s="1"/>
  <c r="B43" i="76" s="1"/>
  <c r="I3" i="6"/>
  <c r="I5" i="6" s="1"/>
  <c r="H10" i="6"/>
  <c r="E10" i="71"/>
  <c r="E11" i="71" s="1"/>
  <c r="E12" i="71" s="1"/>
  <c r="H10" i="14"/>
  <c r="I3" i="14"/>
  <c r="I5" i="14" s="1"/>
  <c r="I3" i="19"/>
  <c r="I5" i="19" s="1"/>
  <c r="G6" i="11"/>
  <c r="E3" i="42"/>
  <c r="H10" i="88"/>
  <c r="H11" i="88" s="1"/>
  <c r="H12" i="88" s="1"/>
  <c r="I3" i="88"/>
  <c r="C14" i="11"/>
  <c r="C15" i="11" s="1"/>
  <c r="C16" i="11" s="1"/>
  <c r="C24" i="76" s="1"/>
  <c r="G10" i="88"/>
  <c r="G11" i="88" s="1"/>
  <c r="G12" i="88" s="1"/>
  <c r="G10" i="87"/>
  <c r="G11" i="87" s="1"/>
  <c r="G12" i="87" s="1"/>
  <c r="B14" i="34"/>
  <c r="B15" i="34" s="1"/>
  <c r="B16" i="34" s="1"/>
  <c r="B26" i="76" s="1"/>
  <c r="D14" i="11"/>
  <c r="D15" i="11" s="1"/>
  <c r="D16" i="11" s="1"/>
  <c r="D24" i="76" s="1"/>
  <c r="E14" i="16"/>
  <c r="E15" i="16" s="1"/>
  <c r="E16" i="16" s="1"/>
  <c r="E14" i="76" s="1"/>
  <c r="B14" i="51"/>
  <c r="B15" i="51" s="1"/>
  <c r="B16" i="51" s="1"/>
  <c r="B55" i="76" s="1"/>
  <c r="F11" i="13"/>
  <c r="F12" i="13" s="1"/>
  <c r="E3" i="41"/>
  <c r="E5" i="41" s="1"/>
  <c r="D10" i="41"/>
  <c r="D11" i="41" s="1"/>
  <c r="D12" i="41" s="1"/>
  <c r="C14" i="47"/>
  <c r="C15" i="47" s="1"/>
  <c r="C16" i="47" s="1"/>
  <c r="C51" i="76" s="1"/>
  <c r="I4" i="7"/>
  <c r="H10" i="7"/>
  <c r="F11" i="17"/>
  <c r="F12" i="17" s="1"/>
  <c r="H3" i="83"/>
  <c r="H5" i="83" s="1"/>
  <c r="G6" i="6"/>
  <c r="C10" i="37"/>
  <c r="C11" i="37" s="1"/>
  <c r="C12" i="37" s="1"/>
  <c r="D3" i="37"/>
  <c r="D5" i="37" s="1"/>
  <c r="D14" i="9"/>
  <c r="D15" i="9" s="1"/>
  <c r="D16" i="9" s="1"/>
  <c r="D33" i="76" s="1"/>
  <c r="C10" i="71"/>
  <c r="C11" i="71" s="1"/>
  <c r="C12" i="71" s="1"/>
  <c r="F12" i="9"/>
  <c r="D14" i="72"/>
  <c r="D15" i="72" s="1"/>
  <c r="D16" i="72" s="1"/>
  <c r="D31" i="76" s="1"/>
  <c r="C14" i="19"/>
  <c r="C15" i="19" s="1"/>
  <c r="C16" i="19" s="1"/>
  <c r="C28" i="76" s="1"/>
  <c r="F11" i="11"/>
  <c r="F12" i="11" s="1"/>
  <c r="H10" i="9"/>
  <c r="I3" i="9"/>
  <c r="I5" i="9" s="1"/>
  <c r="F12" i="18"/>
  <c r="I3" i="86"/>
  <c r="I5" i="86" s="1"/>
  <c r="I3" i="81"/>
  <c r="H4" i="5"/>
  <c r="I4" i="5" s="1"/>
  <c r="J4" i="5" s="1"/>
  <c r="K4" i="5" s="1"/>
  <c r="H3" i="5"/>
  <c r="H5" i="5" s="1"/>
  <c r="I4" i="72"/>
  <c r="H3" i="72"/>
  <c r="H5" i="72" s="1"/>
  <c r="D10" i="36"/>
  <c r="D11" i="36" s="1"/>
  <c r="D12" i="36" s="1"/>
  <c r="E3" i="36"/>
  <c r="E5" i="36" s="1"/>
  <c r="C3" i="39"/>
  <c r="E14" i="82"/>
  <c r="E15" i="82" s="1"/>
  <c r="E16" i="82" s="1"/>
  <c r="E3" i="76" s="1"/>
  <c r="G3" i="29"/>
  <c r="G5" i="29" s="1"/>
  <c r="F10" i="29"/>
  <c r="F11" i="29" s="1"/>
  <c r="F12" i="29" s="1"/>
  <c r="H3" i="84"/>
  <c r="H5" i="84" s="1"/>
  <c r="E11" i="90"/>
  <c r="E12" i="90" s="1"/>
  <c r="H3" i="90"/>
  <c r="H5" i="90" s="1"/>
  <c r="G14" i="90"/>
  <c r="G15" i="90" s="1"/>
  <c r="G16" i="90" s="1"/>
  <c r="G9" i="76" s="1"/>
  <c r="B14" i="29"/>
  <c r="B15" i="29" s="1"/>
  <c r="B16" i="29" s="1"/>
  <c r="B5" i="76" s="1"/>
  <c r="H3" i="4"/>
  <c r="H5" i="4" s="1"/>
  <c r="H4" i="4"/>
  <c r="I4" i="4" s="1"/>
  <c r="J4" i="4" s="1"/>
  <c r="K4" i="4" s="1"/>
  <c r="J3" i="16"/>
  <c r="B10" i="31"/>
  <c r="B11" i="31" s="1"/>
  <c r="B12" i="31" s="1"/>
  <c r="C3" i="31"/>
  <c r="C5" i="31" s="1"/>
  <c r="D14" i="90"/>
  <c r="D15" i="90" s="1"/>
  <c r="D16" i="90" s="1"/>
  <c r="D9" i="76" s="1"/>
  <c r="F14" i="82"/>
  <c r="F15" i="82" s="1"/>
  <c r="F16" i="82" s="1"/>
  <c r="F3" i="76" s="1"/>
  <c r="B10" i="87"/>
  <c r="B11" i="87" s="1"/>
  <c r="B12" i="87" s="1"/>
  <c r="I3" i="8"/>
  <c r="I5" i="8" s="1"/>
  <c r="F11" i="16"/>
  <c r="F12" i="16" s="1"/>
  <c r="B10" i="90"/>
  <c r="B11" i="90" s="1"/>
  <c r="B12" i="90" s="1"/>
  <c r="B14" i="82"/>
  <c r="B15" i="82" s="1"/>
  <c r="B16" i="82" s="1"/>
  <c r="B3" i="76" s="1"/>
  <c r="E10" i="86"/>
  <c r="E11" i="86" s="1"/>
  <c r="E12" i="86" s="1"/>
  <c r="E10" i="80"/>
  <c r="E11" i="80" s="1"/>
  <c r="E12" i="80" s="1"/>
  <c r="H4" i="58"/>
  <c r="I4" i="58" s="1"/>
  <c r="J4" i="58" s="1"/>
  <c r="K4" i="58" s="1"/>
  <c r="H3" i="58"/>
  <c r="B10" i="88"/>
  <c r="B11" i="88" s="1"/>
  <c r="B12" i="88" s="1"/>
  <c r="E14" i="8"/>
  <c r="E15" i="8" s="1"/>
  <c r="E16" i="8" s="1"/>
  <c r="E6" i="76" s="1"/>
  <c r="C14" i="36"/>
  <c r="C15" i="36" s="1"/>
  <c r="C16" i="36" s="1"/>
  <c r="C13" i="76" s="1"/>
  <c r="F12" i="8"/>
  <c r="D10" i="81"/>
  <c r="D11" i="81" s="1"/>
  <c r="D12" i="81" s="1"/>
  <c r="D14" i="16"/>
  <c r="D15" i="16" s="1"/>
  <c r="D16" i="16" s="1"/>
  <c r="D14" i="76" s="1"/>
  <c r="G6" i="15"/>
  <c r="D10" i="33"/>
  <c r="D11" i="33" s="1"/>
  <c r="D12" i="33" s="1"/>
  <c r="E3" i="33"/>
  <c r="E5" i="33" s="1"/>
  <c r="E14" i="29"/>
  <c r="E15" i="29" s="1"/>
  <c r="E16" i="29" s="1"/>
  <c r="E5" i="76" s="1"/>
  <c r="C10" i="82"/>
  <c r="C11" i="82" s="1"/>
  <c r="C12" i="82" s="1"/>
  <c r="H3" i="87"/>
  <c r="H5" i="87" s="1"/>
  <c r="G14" i="82"/>
  <c r="G15" i="82" s="1"/>
  <c r="G16" i="82" s="1"/>
  <c r="G3" i="76" s="1"/>
  <c r="B14" i="16"/>
  <c r="B15" i="16" s="1"/>
  <c r="B16" i="16" s="1"/>
  <c r="B14" i="76" s="1"/>
  <c r="F10" i="90"/>
  <c r="F11" i="90" s="1"/>
  <c r="F12" i="90" s="1"/>
  <c r="C10" i="86"/>
  <c r="C11" i="86" s="1"/>
  <c r="C12" i="86" s="1"/>
  <c r="C11" i="38"/>
  <c r="C12" i="38" s="1"/>
  <c r="B14" i="7"/>
  <c r="B15" i="7" s="1"/>
  <c r="B16" i="7" s="1"/>
  <c r="B47" i="76" s="1"/>
  <c r="F11" i="7"/>
  <c r="F12" i="7" s="1"/>
  <c r="C14" i="7"/>
  <c r="C15" i="7" s="1"/>
  <c r="C16" i="7" s="1"/>
  <c r="C47" i="76" s="1"/>
  <c r="D14" i="7"/>
  <c r="D15" i="7" s="1"/>
  <c r="D16" i="7" s="1"/>
  <c r="D47" i="76" s="1"/>
  <c r="F3" i="47" l="1"/>
  <c r="F5" i="47" s="1"/>
  <c r="G12" i="14"/>
  <c r="H5" i="58"/>
  <c r="H10" i="58" s="1"/>
  <c r="H11" i="58" s="1"/>
  <c r="H12" i="58" s="1"/>
  <c r="E5" i="10"/>
  <c r="E10" i="10" s="1"/>
  <c r="E11" i="10" s="1"/>
  <c r="E12" i="10" s="1"/>
  <c r="E14" i="10" s="1"/>
  <c r="E15" i="10" s="1"/>
  <c r="E16" i="10" s="1"/>
  <c r="E49" i="76" s="1"/>
  <c r="F3" i="10"/>
  <c r="B5" i="39"/>
  <c r="B10" i="39" s="1"/>
  <c r="B11" i="39" s="1"/>
  <c r="B12" i="39" s="1"/>
  <c r="C5" i="39"/>
  <c r="C10" i="39" s="1"/>
  <c r="C11" i="39" s="1"/>
  <c r="C12" i="39" s="1"/>
  <c r="H5" i="3"/>
  <c r="E5" i="38"/>
  <c r="E10" i="38" s="1"/>
  <c r="D5" i="48"/>
  <c r="D10" i="48" s="1"/>
  <c r="D11" i="48" s="1"/>
  <c r="D12" i="48" s="1"/>
  <c r="D14" i="48" s="1"/>
  <c r="D15" i="48" s="1"/>
  <c r="D16" i="48" s="1"/>
  <c r="D30" i="76" s="1"/>
  <c r="I5" i="89"/>
  <c r="I10" i="89" s="1"/>
  <c r="I11" i="89" s="1"/>
  <c r="I12" i="89" s="1"/>
  <c r="J3" i="7"/>
  <c r="I5" i="7"/>
  <c r="D5" i="35"/>
  <c r="D10" i="35" s="1"/>
  <c r="D11" i="35" s="1"/>
  <c r="D12" i="35" s="1"/>
  <c r="D14" i="35" s="1"/>
  <c r="D15" i="35" s="1"/>
  <c r="D16" i="35" s="1"/>
  <c r="D45" i="76" s="1"/>
  <c r="C5" i="46"/>
  <c r="C10" i="46" s="1"/>
  <c r="C11" i="46" s="1"/>
  <c r="C12" i="46" s="1"/>
  <c r="C14" i="46" s="1"/>
  <c r="C15" i="46" s="1"/>
  <c r="C16" i="46" s="1"/>
  <c r="C16" i="76" s="1"/>
  <c r="J4" i="88"/>
  <c r="I5" i="88"/>
  <c r="J4" i="45"/>
  <c r="J4" i="40"/>
  <c r="J4" i="81"/>
  <c r="I5" i="81"/>
  <c r="I10" i="81" s="1"/>
  <c r="I11" i="81" s="1"/>
  <c r="I12" i="81" s="1"/>
  <c r="J4" i="87"/>
  <c r="J4" i="16"/>
  <c r="I5" i="16"/>
  <c r="I10" i="16" s="1"/>
  <c r="I11" i="16" s="1"/>
  <c r="I12" i="16" s="1"/>
  <c r="I14" i="16" s="1"/>
  <c r="I15" i="16" s="1"/>
  <c r="I16" i="16" s="1"/>
  <c r="I14" i="76" s="1"/>
  <c r="J4" i="36"/>
  <c r="J4" i="31"/>
  <c r="J4" i="44"/>
  <c r="J4" i="33"/>
  <c r="J4" i="82"/>
  <c r="I5" i="82"/>
  <c r="I10" i="82" s="1"/>
  <c r="I11" i="82" s="1"/>
  <c r="I12" i="82" s="1"/>
  <c r="F3" i="38"/>
  <c r="H11" i="14"/>
  <c r="H12" i="14" s="1"/>
  <c r="H14" i="86"/>
  <c r="H15" i="86" s="1"/>
  <c r="H16" i="86" s="1"/>
  <c r="H27" i="76" s="1"/>
  <c r="H14" i="80"/>
  <c r="H15" i="80" s="1"/>
  <c r="H16" i="80" s="1"/>
  <c r="H22" i="76" s="1"/>
  <c r="F14" i="90"/>
  <c r="F15" i="90" s="1"/>
  <c r="F16" i="90" s="1"/>
  <c r="F9" i="76" s="1"/>
  <c r="B14" i="87"/>
  <c r="B15" i="87" s="1"/>
  <c r="B16" i="87" s="1"/>
  <c r="B15" i="76" s="1"/>
  <c r="F14" i="17"/>
  <c r="F15" i="17" s="1"/>
  <c r="F16" i="17" s="1"/>
  <c r="F46" i="76" s="1"/>
  <c r="F14" i="13"/>
  <c r="F15" i="13" s="1"/>
  <c r="F16" i="13" s="1"/>
  <c r="F54" i="76" s="1"/>
  <c r="H14" i="88"/>
  <c r="H15" i="88" s="1"/>
  <c r="H16" i="88" s="1"/>
  <c r="H21" i="76" s="1"/>
  <c r="F14" i="19"/>
  <c r="F15" i="19" s="1"/>
  <c r="F16" i="19" s="1"/>
  <c r="F28" i="76" s="1"/>
  <c r="C14" i="10"/>
  <c r="C15" i="10" s="1"/>
  <c r="C16" i="10" s="1"/>
  <c r="C49" i="76" s="1"/>
  <c r="C14" i="88"/>
  <c r="C15" i="88" s="1"/>
  <c r="C16" i="88" s="1"/>
  <c r="C21" i="76" s="1"/>
  <c r="D14" i="82"/>
  <c r="D15" i="82" s="1"/>
  <c r="D16" i="82" s="1"/>
  <c r="D3" i="76" s="1"/>
  <c r="G14" i="84"/>
  <c r="G15" i="84" s="1"/>
  <c r="G16" i="84" s="1"/>
  <c r="G18" i="76" s="1"/>
  <c r="D14" i="81"/>
  <c r="D15" i="81" s="1"/>
  <c r="D16" i="81" s="1"/>
  <c r="D17" i="76" s="1"/>
  <c r="B14" i="40"/>
  <c r="B15" i="40" s="1"/>
  <c r="B16" i="40" s="1"/>
  <c r="B19" i="76" s="1"/>
  <c r="F14" i="72"/>
  <c r="F15" i="72" s="1"/>
  <c r="F16" i="72" s="1"/>
  <c r="F31" i="76" s="1"/>
  <c r="F14" i="16"/>
  <c r="F15" i="16" s="1"/>
  <c r="F16" i="16" s="1"/>
  <c r="F14" i="76" s="1"/>
  <c r="F14" i="84"/>
  <c r="F15" i="84" s="1"/>
  <c r="F16" i="84" s="1"/>
  <c r="F18" i="76" s="1"/>
  <c r="B14" i="88"/>
  <c r="B15" i="88" s="1"/>
  <c r="B16" i="88" s="1"/>
  <c r="B21" i="76" s="1"/>
  <c r="D14" i="45"/>
  <c r="D15" i="45" s="1"/>
  <c r="D16" i="45" s="1"/>
  <c r="D20" i="76" s="1"/>
  <c r="C14" i="82"/>
  <c r="C15" i="82" s="1"/>
  <c r="C16" i="82" s="1"/>
  <c r="C3" i="76" s="1"/>
  <c r="B14" i="90"/>
  <c r="B15" i="90" s="1"/>
  <c r="B16" i="90" s="1"/>
  <c r="B9" i="76" s="1"/>
  <c r="B14" i="31"/>
  <c r="B15" i="31" s="1"/>
  <c r="B16" i="31" s="1"/>
  <c r="B12" i="76" s="1"/>
  <c r="D14" i="41"/>
  <c r="D15" i="41" s="1"/>
  <c r="D16" i="41" s="1"/>
  <c r="D52" i="76" s="1"/>
  <c r="D14" i="88"/>
  <c r="D15" i="88" s="1"/>
  <c r="D16" i="88" s="1"/>
  <c r="D21" i="76" s="1"/>
  <c r="H14" i="89"/>
  <c r="H15" i="89" s="1"/>
  <c r="H16" i="89" s="1"/>
  <c r="H32" i="76" s="1"/>
  <c r="C14" i="50"/>
  <c r="C15" i="50" s="1"/>
  <c r="C16" i="50" s="1"/>
  <c r="C34" i="76" s="1"/>
  <c r="C14" i="86"/>
  <c r="C15" i="86" s="1"/>
  <c r="C16" i="86" s="1"/>
  <c r="C27" i="76" s="1"/>
  <c r="E14" i="86"/>
  <c r="E15" i="86" s="1"/>
  <c r="E16" i="86" s="1"/>
  <c r="E27" i="76" s="1"/>
  <c r="I3" i="84"/>
  <c r="I5" i="84" s="1"/>
  <c r="D14" i="36"/>
  <c r="D15" i="36" s="1"/>
  <c r="D16" i="36" s="1"/>
  <c r="D13" i="76" s="1"/>
  <c r="G11" i="18"/>
  <c r="G12" i="18" s="1"/>
  <c r="C14" i="71"/>
  <c r="C15" i="71" s="1"/>
  <c r="C16" i="71" s="1"/>
  <c r="C36" i="76" s="1"/>
  <c r="D10" i="37"/>
  <c r="D11" i="37" s="1"/>
  <c r="D12" i="37" s="1"/>
  <c r="E3" i="37"/>
  <c r="E5" i="37" s="1"/>
  <c r="G14" i="88"/>
  <c r="G15" i="88" s="1"/>
  <c r="G16" i="88" s="1"/>
  <c r="G21" i="76" s="1"/>
  <c r="I10" i="88"/>
  <c r="I11" i="88" s="1"/>
  <c r="I12" i="88" s="1"/>
  <c r="J3" i="88"/>
  <c r="F3" i="42"/>
  <c r="E14" i="71"/>
  <c r="E15" i="71" s="1"/>
  <c r="E16" i="71" s="1"/>
  <c r="E36" i="76" s="1"/>
  <c r="C14" i="32"/>
  <c r="C15" i="32" s="1"/>
  <c r="C16" i="32" s="1"/>
  <c r="C53" i="76" s="1"/>
  <c r="H14" i="34"/>
  <c r="H15" i="34" s="1"/>
  <c r="H16" i="34" s="1"/>
  <c r="H26" i="76" s="1"/>
  <c r="D14" i="89"/>
  <c r="D15" i="89" s="1"/>
  <c r="D16" i="89" s="1"/>
  <c r="D32" i="76" s="1"/>
  <c r="J4" i="71"/>
  <c r="I3" i="71"/>
  <c r="I5" i="71" s="1"/>
  <c r="B14" i="43"/>
  <c r="B15" i="43" s="1"/>
  <c r="B16" i="43" s="1"/>
  <c r="B29" i="76" s="1"/>
  <c r="D10" i="50"/>
  <c r="D11" i="50" s="1"/>
  <c r="D12" i="50" s="1"/>
  <c r="E3" i="50"/>
  <c r="E5" i="50" s="1"/>
  <c r="J3" i="89"/>
  <c r="J5" i="89" s="1"/>
  <c r="C14" i="49"/>
  <c r="C15" i="49" s="1"/>
  <c r="C16" i="49" s="1"/>
  <c r="C43" i="76" s="1"/>
  <c r="J3" i="13"/>
  <c r="J5" i="13" s="1"/>
  <c r="I10" i="13"/>
  <c r="I11" i="13" s="1"/>
  <c r="I12" i="13" s="1"/>
  <c r="D14" i="44"/>
  <c r="D15" i="44" s="1"/>
  <c r="D16" i="44" s="1"/>
  <c r="D11" i="76" s="1"/>
  <c r="H6" i="16"/>
  <c r="G11" i="16"/>
  <c r="G12" i="16" s="1"/>
  <c r="C14" i="84"/>
  <c r="C15" i="84" s="1"/>
  <c r="C16" i="84" s="1"/>
  <c r="C18" i="76" s="1"/>
  <c r="E10" i="33"/>
  <c r="E11" i="33" s="1"/>
  <c r="E12" i="33" s="1"/>
  <c r="F3" i="33"/>
  <c r="F5" i="33" s="1"/>
  <c r="E14" i="80"/>
  <c r="E15" i="80" s="1"/>
  <c r="E16" i="80" s="1"/>
  <c r="E22" i="76" s="1"/>
  <c r="D14" i="33"/>
  <c r="D15" i="33" s="1"/>
  <c r="D16" i="33" s="1"/>
  <c r="D7" i="76" s="1"/>
  <c r="I3" i="87"/>
  <c r="I5" i="87" s="1"/>
  <c r="H10" i="87"/>
  <c r="H11" i="87" s="1"/>
  <c r="H12" i="87" s="1"/>
  <c r="H6" i="15"/>
  <c r="G11" i="15"/>
  <c r="G12" i="15" s="1"/>
  <c r="C10" i="31"/>
  <c r="C11" i="31" s="1"/>
  <c r="C12" i="31" s="1"/>
  <c r="D3" i="31"/>
  <c r="D5" i="31" s="1"/>
  <c r="K3" i="16"/>
  <c r="I3" i="4"/>
  <c r="I5" i="4" s="1"/>
  <c r="H10" i="4"/>
  <c r="H11" i="4" s="1"/>
  <c r="H12" i="4" s="1"/>
  <c r="H10" i="72"/>
  <c r="H11" i="72" s="1"/>
  <c r="H12" i="72" s="1"/>
  <c r="E14" i="84"/>
  <c r="E15" i="84" s="1"/>
  <c r="E16" i="84" s="1"/>
  <c r="E18" i="76" s="1"/>
  <c r="I10" i="86"/>
  <c r="I11" i="86" s="1"/>
  <c r="I12" i="86" s="1"/>
  <c r="J3" i="86"/>
  <c r="J5" i="86" s="1"/>
  <c r="F14" i="18"/>
  <c r="F15" i="18" s="1"/>
  <c r="F16" i="18" s="1"/>
  <c r="F25" i="76" s="1"/>
  <c r="H6" i="6"/>
  <c r="G11" i="6"/>
  <c r="G12" i="6" s="1"/>
  <c r="H6" i="11"/>
  <c r="G11" i="11"/>
  <c r="G12" i="11" s="1"/>
  <c r="E4" i="35"/>
  <c r="F3" i="35"/>
  <c r="E10" i="45"/>
  <c r="E11" i="45" s="1"/>
  <c r="E12" i="45" s="1"/>
  <c r="F3" i="45"/>
  <c r="F5" i="45" s="1"/>
  <c r="I10" i="18"/>
  <c r="I11" i="18" s="1"/>
  <c r="I12" i="18" s="1"/>
  <c r="J3" i="18"/>
  <c r="J5" i="18" s="1"/>
  <c r="I10" i="34"/>
  <c r="I11" i="34" s="1"/>
  <c r="I12" i="34" s="1"/>
  <c r="J3" i="34"/>
  <c r="J5" i="34" s="1"/>
  <c r="G11" i="19"/>
  <c r="G12" i="19" s="1"/>
  <c r="H10" i="71"/>
  <c r="H11" i="71" s="1"/>
  <c r="H12" i="71" s="1"/>
  <c r="I10" i="80"/>
  <c r="I11" i="80" s="1"/>
  <c r="I12" i="80" s="1"/>
  <c r="J3" i="80"/>
  <c r="J5" i="80" s="1"/>
  <c r="H14" i="82"/>
  <c r="H15" i="82" s="1"/>
  <c r="H16" i="82" s="1"/>
  <c r="H3" i="76" s="1"/>
  <c r="G12" i="8"/>
  <c r="E3" i="46"/>
  <c r="D4" i="46"/>
  <c r="D5" i="46" s="1"/>
  <c r="G14" i="14"/>
  <c r="G15" i="14" s="1"/>
  <c r="G16" i="14" s="1"/>
  <c r="G42" i="76" s="1"/>
  <c r="F14" i="15"/>
  <c r="F15" i="15" s="1"/>
  <c r="F16" i="15" s="1"/>
  <c r="F10" i="76" s="1"/>
  <c r="H10" i="90"/>
  <c r="H11" i="90" s="1"/>
  <c r="H12" i="90" s="1"/>
  <c r="I3" i="90"/>
  <c r="I5" i="90" s="1"/>
  <c r="G10" i="29"/>
  <c r="G11" i="29" s="1"/>
  <c r="G12" i="29" s="1"/>
  <c r="H3" i="29"/>
  <c r="H5" i="29" s="1"/>
  <c r="E10" i="36"/>
  <c r="E11" i="36" s="1"/>
  <c r="E12" i="36" s="1"/>
  <c r="F3" i="36"/>
  <c r="F5" i="36" s="1"/>
  <c r="I3" i="72"/>
  <c r="I5" i="72" s="1"/>
  <c r="J4" i="72"/>
  <c r="H14" i="81"/>
  <c r="H15" i="81" s="1"/>
  <c r="H16" i="81" s="1"/>
  <c r="H17" i="76" s="1"/>
  <c r="I10" i="9"/>
  <c r="I11" i="9" s="1"/>
  <c r="I12" i="9" s="1"/>
  <c r="J3" i="9"/>
  <c r="J5" i="9" s="1"/>
  <c r="G11" i="9"/>
  <c r="G12" i="9" s="1"/>
  <c r="C14" i="37"/>
  <c r="C15" i="37" s="1"/>
  <c r="C16" i="37" s="1"/>
  <c r="C35" i="76" s="1"/>
  <c r="F14" i="6"/>
  <c r="F15" i="6" s="1"/>
  <c r="F16" i="6" s="1"/>
  <c r="F37" i="76" s="1"/>
  <c r="G14" i="87"/>
  <c r="G15" i="87" s="1"/>
  <c r="G16" i="87" s="1"/>
  <c r="G15" i="76" s="1"/>
  <c r="F14" i="11"/>
  <c r="F15" i="11" s="1"/>
  <c r="F16" i="11" s="1"/>
  <c r="F24" i="76" s="1"/>
  <c r="I10" i="6"/>
  <c r="I11" i="6" s="1"/>
  <c r="I12" i="6" s="1"/>
  <c r="J3" i="6"/>
  <c r="J5" i="6" s="1"/>
  <c r="E14" i="47"/>
  <c r="E15" i="47" s="1"/>
  <c r="E16" i="47" s="1"/>
  <c r="E51" i="76" s="1"/>
  <c r="D10" i="32"/>
  <c r="D11" i="32" s="1"/>
  <c r="D12" i="32" s="1"/>
  <c r="E3" i="32"/>
  <c r="E5" i="32" s="1"/>
  <c r="G14" i="89"/>
  <c r="G15" i="89" s="1"/>
  <c r="G16" i="89" s="1"/>
  <c r="G32" i="76" s="1"/>
  <c r="C14" i="89"/>
  <c r="C15" i="89" s="1"/>
  <c r="C16" i="89" s="1"/>
  <c r="C32" i="76" s="1"/>
  <c r="B14" i="89"/>
  <c r="B15" i="89" s="1"/>
  <c r="B16" i="89" s="1"/>
  <c r="B32" i="76" s="1"/>
  <c r="G14" i="80"/>
  <c r="G15" i="80" s="1"/>
  <c r="G16" i="80" s="1"/>
  <c r="G22" i="76" s="1"/>
  <c r="D3" i="43"/>
  <c r="D5" i="43" s="1"/>
  <c r="C10" i="43"/>
  <c r="C11" i="43" s="1"/>
  <c r="C12" i="43" s="1"/>
  <c r="F14" i="83"/>
  <c r="F15" i="83" s="1"/>
  <c r="F16" i="83" s="1"/>
  <c r="F44" i="76" s="1"/>
  <c r="D10" i="49"/>
  <c r="D11" i="49" s="1"/>
  <c r="D12" i="49" s="1"/>
  <c r="E3" i="49"/>
  <c r="E5" i="49" s="1"/>
  <c r="H14" i="51"/>
  <c r="H15" i="51" s="1"/>
  <c r="H16" i="51" s="1"/>
  <c r="H55" i="76" s="1"/>
  <c r="E10" i="44"/>
  <c r="E11" i="44" s="1"/>
  <c r="E12" i="44" s="1"/>
  <c r="F3" i="44"/>
  <c r="F5" i="44" s="1"/>
  <c r="J3" i="82"/>
  <c r="D14" i="84"/>
  <c r="D15" i="84" s="1"/>
  <c r="D16" i="84" s="1"/>
  <c r="D18" i="76" s="1"/>
  <c r="H10" i="3"/>
  <c r="H11" i="3" s="1"/>
  <c r="H12" i="3" s="1"/>
  <c r="I3" i="3"/>
  <c r="I5" i="3" s="1"/>
  <c r="F14" i="29"/>
  <c r="F15" i="29" s="1"/>
  <c r="F16" i="29" s="1"/>
  <c r="F5" i="76" s="1"/>
  <c r="F14" i="8"/>
  <c r="F15" i="8" s="1"/>
  <c r="F16" i="8" s="1"/>
  <c r="F6" i="76" s="1"/>
  <c r="I3" i="58"/>
  <c r="I5" i="58" s="1"/>
  <c r="I10" i="8"/>
  <c r="I11" i="8" s="1"/>
  <c r="I12" i="8" s="1"/>
  <c r="J3" i="8"/>
  <c r="J5" i="8" s="1"/>
  <c r="B14" i="84"/>
  <c r="B15" i="84" s="1"/>
  <c r="B16" i="84" s="1"/>
  <c r="B18" i="76" s="1"/>
  <c r="E14" i="90"/>
  <c r="E15" i="90" s="1"/>
  <c r="E16" i="90" s="1"/>
  <c r="E9" i="76" s="1"/>
  <c r="D3" i="39"/>
  <c r="D5" i="39" s="1"/>
  <c r="H10" i="5"/>
  <c r="H11" i="5" s="1"/>
  <c r="H12" i="5" s="1"/>
  <c r="I3" i="5"/>
  <c r="I5" i="5" s="1"/>
  <c r="J3" i="81"/>
  <c r="E14" i="89"/>
  <c r="E15" i="89" s="1"/>
  <c r="E16" i="89" s="1"/>
  <c r="E32" i="76" s="1"/>
  <c r="F14" i="9"/>
  <c r="F15" i="9" s="1"/>
  <c r="F16" i="9" s="1"/>
  <c r="F33" i="76" s="1"/>
  <c r="I3" i="83"/>
  <c r="I5" i="83" s="1"/>
  <c r="H10" i="83"/>
  <c r="H11" i="83" s="1"/>
  <c r="H12" i="83" s="1"/>
  <c r="J4" i="7"/>
  <c r="I10" i="7"/>
  <c r="I11" i="7" s="1"/>
  <c r="I12" i="7" s="1"/>
  <c r="I14" i="7" s="1"/>
  <c r="I15" i="7" s="1"/>
  <c r="I16" i="7" s="1"/>
  <c r="I47" i="76" s="1"/>
  <c r="E10" i="41"/>
  <c r="E11" i="41" s="1"/>
  <c r="E12" i="41" s="1"/>
  <c r="F3" i="41"/>
  <c r="F5" i="41" s="1"/>
  <c r="I10" i="19"/>
  <c r="I11" i="19" s="1"/>
  <c r="I12" i="19" s="1"/>
  <c r="J3" i="19"/>
  <c r="J5" i="19" s="1"/>
  <c r="I10" i="14"/>
  <c r="I11" i="14" s="1"/>
  <c r="I12" i="14" s="1"/>
  <c r="J3" i="14"/>
  <c r="J5" i="14" s="1"/>
  <c r="F10" i="47"/>
  <c r="F11" i="47" s="1"/>
  <c r="F12" i="47" s="1"/>
  <c r="G3" i="47"/>
  <c r="G5" i="47" s="1"/>
  <c r="G11" i="17"/>
  <c r="G12" i="17" s="1"/>
  <c r="G11" i="13"/>
  <c r="G12" i="13" s="1"/>
  <c r="F3" i="48"/>
  <c r="E4" i="48"/>
  <c r="E5" i="48" s="1"/>
  <c r="F14" i="89"/>
  <c r="F15" i="89" s="1"/>
  <c r="F16" i="89" s="1"/>
  <c r="F32" i="76" s="1"/>
  <c r="J3" i="17"/>
  <c r="J5" i="17" s="1"/>
  <c r="I10" i="17"/>
  <c r="I11" i="17" s="1"/>
  <c r="I12" i="17" s="1"/>
  <c r="C10" i="40"/>
  <c r="C11" i="40" s="1"/>
  <c r="C12" i="40" s="1"/>
  <c r="D3" i="40"/>
  <c r="D5" i="40" s="1"/>
  <c r="I10" i="11"/>
  <c r="I11" i="11" s="1"/>
  <c r="I12" i="11" s="1"/>
  <c r="J3" i="11"/>
  <c r="J5" i="11" s="1"/>
  <c r="I10" i="51"/>
  <c r="I11" i="51" s="1"/>
  <c r="I12" i="51" s="1"/>
  <c r="J3" i="51"/>
  <c r="J5" i="51" s="1"/>
  <c r="I10" i="15"/>
  <c r="I11" i="15" s="1"/>
  <c r="I12" i="15" s="1"/>
  <c r="J3" i="15"/>
  <c r="J5" i="15" s="1"/>
  <c r="H10" i="84"/>
  <c r="H11" i="84" s="1"/>
  <c r="H12" i="84" s="1"/>
  <c r="C14" i="38"/>
  <c r="C15" i="38" s="1"/>
  <c r="C16" i="38" s="1"/>
  <c r="C4" i="76" s="1"/>
  <c r="D11" i="38"/>
  <c r="D12" i="38" s="1"/>
  <c r="F14" i="7"/>
  <c r="F15" i="7" s="1"/>
  <c r="F16" i="7" s="1"/>
  <c r="F47" i="76" s="1"/>
  <c r="G11" i="7"/>
  <c r="G12" i="7" s="1"/>
  <c r="B5" i="42" l="1"/>
  <c r="F5" i="42"/>
  <c r="F10" i="42" s="1"/>
  <c r="F11" i="42" s="1"/>
  <c r="F12" i="42" s="1"/>
  <c r="D5" i="42"/>
  <c r="E5" i="42"/>
  <c r="E10" i="42" s="1"/>
  <c r="E11" i="42" s="1"/>
  <c r="E12" i="42" s="1"/>
  <c r="C5" i="42"/>
  <c r="G3" i="38"/>
  <c r="G5" i="38" s="1"/>
  <c r="F5" i="38"/>
  <c r="F5" i="10"/>
  <c r="F10" i="10" s="1"/>
  <c r="F11" i="10" s="1"/>
  <c r="F12" i="10" s="1"/>
  <c r="F14" i="10" s="1"/>
  <c r="F15" i="10" s="1"/>
  <c r="F16" i="10" s="1"/>
  <c r="F49" i="76" s="1"/>
  <c r="G3" i="10"/>
  <c r="E10" i="48"/>
  <c r="E11" i="48" s="1"/>
  <c r="E12" i="48" s="1"/>
  <c r="E14" i="48" s="1"/>
  <c r="E15" i="48" s="1"/>
  <c r="E16" i="48" s="1"/>
  <c r="E30" i="76" s="1"/>
  <c r="D10" i="39"/>
  <c r="D11" i="39" s="1"/>
  <c r="D12" i="39" s="1"/>
  <c r="D10" i="46"/>
  <c r="D11" i="46" s="1"/>
  <c r="D12" i="46" s="1"/>
  <c r="D14" i="46" s="1"/>
  <c r="D15" i="46" s="1"/>
  <c r="D16" i="46" s="1"/>
  <c r="D16" i="76" s="1"/>
  <c r="J5" i="7"/>
  <c r="K3" i="7"/>
  <c r="E5" i="35"/>
  <c r="E10" i="35" s="1"/>
  <c r="E11" i="35" s="1"/>
  <c r="E12" i="35" s="1"/>
  <c r="E14" i="35" s="1"/>
  <c r="E15" i="35" s="1"/>
  <c r="E16" i="35" s="1"/>
  <c r="E45" i="76" s="1"/>
  <c r="K4" i="88"/>
  <c r="J5" i="88"/>
  <c r="K4" i="45"/>
  <c r="K4" i="40"/>
  <c r="K4" i="81"/>
  <c r="J5" i="81"/>
  <c r="J10" i="81" s="1"/>
  <c r="J11" i="81" s="1"/>
  <c r="J12" i="81" s="1"/>
  <c r="K4" i="87"/>
  <c r="K4" i="16"/>
  <c r="K5" i="16" s="1"/>
  <c r="J5" i="16"/>
  <c r="J10" i="16" s="1"/>
  <c r="J11" i="16" s="1"/>
  <c r="J12" i="16" s="1"/>
  <c r="J14" i="16" s="1"/>
  <c r="J15" i="16" s="1"/>
  <c r="J16" i="16" s="1"/>
  <c r="J14" i="76" s="1"/>
  <c r="K4" i="36"/>
  <c r="K4" i="31"/>
  <c r="K4" i="44"/>
  <c r="K4" i="33"/>
  <c r="K4" i="82"/>
  <c r="J5" i="82"/>
  <c r="J10" i="82" s="1"/>
  <c r="J11" i="82" s="1"/>
  <c r="J12" i="82" s="1"/>
  <c r="F10" i="38"/>
  <c r="H14" i="3"/>
  <c r="H15" i="3" s="1"/>
  <c r="H16" i="3" s="1"/>
  <c r="H40" i="76" s="1"/>
  <c r="G14" i="29"/>
  <c r="G15" i="29" s="1"/>
  <c r="G16" i="29" s="1"/>
  <c r="G5" i="76" s="1"/>
  <c r="H14" i="4"/>
  <c r="H15" i="4" s="1"/>
  <c r="H16" i="4" s="1"/>
  <c r="H50" i="76" s="1"/>
  <c r="I14" i="88"/>
  <c r="I15" i="88" s="1"/>
  <c r="I16" i="88" s="1"/>
  <c r="I21" i="76" s="1"/>
  <c r="I14" i="17"/>
  <c r="I15" i="17" s="1"/>
  <c r="I16" i="17" s="1"/>
  <c r="I46" i="76" s="1"/>
  <c r="I14" i="82"/>
  <c r="I15" i="82" s="1"/>
  <c r="I16" i="82" s="1"/>
  <c r="I3" i="76" s="1"/>
  <c r="G14" i="9"/>
  <c r="G15" i="9" s="1"/>
  <c r="G16" i="9" s="1"/>
  <c r="G33" i="76" s="1"/>
  <c r="I14" i="80"/>
  <c r="I15" i="80" s="1"/>
  <c r="I16" i="80" s="1"/>
  <c r="I22" i="76" s="1"/>
  <c r="I14" i="86"/>
  <c r="I15" i="86" s="1"/>
  <c r="I16" i="86" s="1"/>
  <c r="I27" i="76" s="1"/>
  <c r="C14" i="31"/>
  <c r="C15" i="31" s="1"/>
  <c r="C16" i="31" s="1"/>
  <c r="C12" i="76" s="1"/>
  <c r="I14" i="51"/>
  <c r="I15" i="51" s="1"/>
  <c r="I16" i="51" s="1"/>
  <c r="I55" i="76" s="1"/>
  <c r="I14" i="18"/>
  <c r="I15" i="18" s="1"/>
  <c r="I16" i="18" s="1"/>
  <c r="I25" i="76" s="1"/>
  <c r="E14" i="45"/>
  <c r="E15" i="45" s="1"/>
  <c r="E16" i="45" s="1"/>
  <c r="E20" i="76" s="1"/>
  <c r="C14" i="40"/>
  <c r="C15" i="40" s="1"/>
  <c r="C16" i="40" s="1"/>
  <c r="C19" i="76" s="1"/>
  <c r="I14" i="9"/>
  <c r="I15" i="9" s="1"/>
  <c r="I16" i="9" s="1"/>
  <c r="I33" i="76" s="1"/>
  <c r="I14" i="11"/>
  <c r="I15" i="11" s="1"/>
  <c r="I16" i="11" s="1"/>
  <c r="I24" i="76" s="1"/>
  <c r="I14" i="81"/>
  <c r="I15" i="81" s="1"/>
  <c r="I16" i="81" s="1"/>
  <c r="I17" i="76" s="1"/>
  <c r="C14" i="39"/>
  <c r="C15" i="39" s="1"/>
  <c r="C16" i="39" s="1"/>
  <c r="C8" i="76" s="1"/>
  <c r="I14" i="8"/>
  <c r="I15" i="8" s="1"/>
  <c r="I16" i="8" s="1"/>
  <c r="I6" i="76" s="1"/>
  <c r="H14" i="71"/>
  <c r="H15" i="71" s="1"/>
  <c r="H16" i="71" s="1"/>
  <c r="H36" i="76" s="1"/>
  <c r="I14" i="34"/>
  <c r="I15" i="34" s="1"/>
  <c r="I16" i="34" s="1"/>
  <c r="I26" i="76" s="1"/>
  <c r="G14" i="11"/>
  <c r="G15" i="11" s="1"/>
  <c r="G16" i="11" s="1"/>
  <c r="G24" i="76" s="1"/>
  <c r="H14" i="84"/>
  <c r="H15" i="84" s="1"/>
  <c r="H16" i="84" s="1"/>
  <c r="H18" i="76" s="1"/>
  <c r="I14" i="19"/>
  <c r="I15" i="19" s="1"/>
  <c r="I16" i="19" s="1"/>
  <c r="I28" i="76" s="1"/>
  <c r="E14" i="44"/>
  <c r="E15" i="44" s="1"/>
  <c r="E16" i="44" s="1"/>
  <c r="E11" i="76" s="1"/>
  <c r="G14" i="19"/>
  <c r="G15" i="19" s="1"/>
  <c r="G16" i="19" s="1"/>
  <c r="G28" i="76" s="1"/>
  <c r="H14" i="72"/>
  <c r="H15" i="72" s="1"/>
  <c r="H16" i="72" s="1"/>
  <c r="H31" i="76" s="1"/>
  <c r="G14" i="15"/>
  <c r="G15" i="15" s="1"/>
  <c r="G16" i="15" s="1"/>
  <c r="G10" i="76" s="1"/>
  <c r="G14" i="18"/>
  <c r="G15" i="18" s="1"/>
  <c r="G16" i="18" s="1"/>
  <c r="G25" i="76" s="1"/>
  <c r="G14" i="13"/>
  <c r="G15" i="13" s="1"/>
  <c r="G16" i="13" s="1"/>
  <c r="G54" i="76" s="1"/>
  <c r="I14" i="14"/>
  <c r="I15" i="14" s="1"/>
  <c r="I16" i="14" s="1"/>
  <c r="I42" i="76" s="1"/>
  <c r="J3" i="5"/>
  <c r="J5" i="5" s="1"/>
  <c r="I10" i="5"/>
  <c r="I11" i="5" s="1"/>
  <c r="I12" i="5" s="1"/>
  <c r="J10" i="6"/>
  <c r="J11" i="6" s="1"/>
  <c r="J12" i="6" s="1"/>
  <c r="K3" i="6"/>
  <c r="K5" i="6" s="1"/>
  <c r="H11" i="9"/>
  <c r="H12" i="9" s="1"/>
  <c r="H14" i="90"/>
  <c r="H15" i="90" s="1"/>
  <c r="H16" i="90" s="1"/>
  <c r="H9" i="76" s="1"/>
  <c r="H11" i="8"/>
  <c r="H12" i="8" s="1"/>
  <c r="G14" i="6"/>
  <c r="G15" i="6" s="1"/>
  <c r="G16" i="6" s="1"/>
  <c r="G37" i="76" s="1"/>
  <c r="K3" i="86"/>
  <c r="K5" i="86" s="1"/>
  <c r="J10" i="86"/>
  <c r="J11" i="86" s="1"/>
  <c r="J12" i="86" s="1"/>
  <c r="J3" i="4"/>
  <c r="J5" i="4" s="1"/>
  <c r="I10" i="4"/>
  <c r="I11" i="4" s="1"/>
  <c r="I12" i="4" s="1"/>
  <c r="H11" i="15"/>
  <c r="H12" i="15" s="1"/>
  <c r="G3" i="33"/>
  <c r="G5" i="33" s="1"/>
  <c r="F10" i="33"/>
  <c r="F11" i="33" s="1"/>
  <c r="F12" i="33" s="1"/>
  <c r="D14" i="50"/>
  <c r="D15" i="50" s="1"/>
  <c r="D16" i="50" s="1"/>
  <c r="D34" i="76" s="1"/>
  <c r="H11" i="18"/>
  <c r="H12" i="18" s="1"/>
  <c r="J3" i="84"/>
  <c r="J5" i="84" s="1"/>
  <c r="I10" i="84"/>
  <c r="I11" i="84" s="1"/>
  <c r="I12" i="84" s="1"/>
  <c r="J10" i="15"/>
  <c r="J11" i="15" s="1"/>
  <c r="J12" i="15" s="1"/>
  <c r="K3" i="15"/>
  <c r="K5" i="15" s="1"/>
  <c r="E3" i="40"/>
  <c r="E5" i="40" s="1"/>
  <c r="D10" i="40"/>
  <c r="D11" i="40" s="1"/>
  <c r="D12" i="40" s="1"/>
  <c r="K3" i="17"/>
  <c r="K5" i="17" s="1"/>
  <c r="J10" i="17"/>
  <c r="J11" i="17" s="1"/>
  <c r="J12" i="17" s="1"/>
  <c r="F4" i="48"/>
  <c r="G3" i="48"/>
  <c r="H11" i="13"/>
  <c r="H12" i="13" s="1"/>
  <c r="H3" i="47"/>
  <c r="H5" i="47" s="1"/>
  <c r="G10" i="47"/>
  <c r="G11" i="47" s="1"/>
  <c r="G12" i="47" s="1"/>
  <c r="K3" i="81"/>
  <c r="E3" i="39"/>
  <c r="E5" i="39" s="1"/>
  <c r="G3" i="44"/>
  <c r="G5" i="44" s="1"/>
  <c r="F10" i="44"/>
  <c r="F11" i="44" s="1"/>
  <c r="F12" i="44" s="1"/>
  <c r="D10" i="43"/>
  <c r="D11" i="43" s="1"/>
  <c r="D12" i="43" s="1"/>
  <c r="E3" i="43"/>
  <c r="E5" i="43" s="1"/>
  <c r="F10" i="45"/>
  <c r="F11" i="45" s="1"/>
  <c r="F12" i="45" s="1"/>
  <c r="G3" i="45"/>
  <c r="G5" i="45" s="1"/>
  <c r="H11" i="6"/>
  <c r="H12" i="6" s="1"/>
  <c r="D10" i="31"/>
  <c r="D11" i="31" s="1"/>
  <c r="D12" i="31" s="1"/>
  <c r="E3" i="31"/>
  <c r="E5" i="31" s="1"/>
  <c r="H14" i="14"/>
  <c r="H15" i="14" s="1"/>
  <c r="H16" i="14" s="1"/>
  <c r="H42" i="76" s="1"/>
  <c r="E10" i="50"/>
  <c r="E11" i="50" s="1"/>
  <c r="E12" i="50" s="1"/>
  <c r="F3" i="50"/>
  <c r="F5" i="50" s="1"/>
  <c r="C10" i="42"/>
  <c r="C11" i="42" s="1"/>
  <c r="C12" i="42" s="1"/>
  <c r="D10" i="42"/>
  <c r="D11" i="42" s="1"/>
  <c r="D12" i="42" s="1"/>
  <c r="B10" i="42"/>
  <c r="B11" i="42" s="1"/>
  <c r="B12" i="42" s="1"/>
  <c r="G3" i="42"/>
  <c r="G5" i="42" s="1"/>
  <c r="E10" i="37"/>
  <c r="E11" i="37" s="1"/>
  <c r="E12" i="37" s="1"/>
  <c r="F3" i="37"/>
  <c r="F5" i="37" s="1"/>
  <c r="F14" i="47"/>
  <c r="F15" i="47" s="1"/>
  <c r="F16" i="47" s="1"/>
  <c r="F51" i="76" s="1"/>
  <c r="C14" i="43"/>
  <c r="C15" i="43" s="1"/>
  <c r="C16" i="43" s="1"/>
  <c r="C29" i="76" s="1"/>
  <c r="D14" i="32"/>
  <c r="D15" i="32" s="1"/>
  <c r="D16" i="32" s="1"/>
  <c r="D53" i="76" s="1"/>
  <c r="H10" i="29"/>
  <c r="H11" i="29" s="1"/>
  <c r="H12" i="29" s="1"/>
  <c r="I3" i="29"/>
  <c r="I5" i="29" s="1"/>
  <c r="F4" i="35"/>
  <c r="F5" i="35" s="1"/>
  <c r="G3" i="35"/>
  <c r="G14" i="16"/>
  <c r="G15" i="16" s="1"/>
  <c r="G16" i="16" s="1"/>
  <c r="G14" i="76" s="1"/>
  <c r="H11" i="17"/>
  <c r="H12" i="17" s="1"/>
  <c r="E14" i="41"/>
  <c r="E15" i="41" s="1"/>
  <c r="E16" i="41" s="1"/>
  <c r="E52" i="76" s="1"/>
  <c r="B14" i="39"/>
  <c r="B15" i="39" s="1"/>
  <c r="B16" i="39" s="1"/>
  <c r="B8" i="76" s="1"/>
  <c r="D14" i="49"/>
  <c r="D15" i="49" s="1"/>
  <c r="D16" i="49" s="1"/>
  <c r="D43" i="76" s="1"/>
  <c r="J10" i="9"/>
  <c r="J11" i="9" s="1"/>
  <c r="J12" i="9" s="1"/>
  <c r="K3" i="9"/>
  <c r="K5" i="9" s="1"/>
  <c r="E14" i="36"/>
  <c r="E15" i="36" s="1"/>
  <c r="E16" i="36" s="1"/>
  <c r="E13" i="76" s="1"/>
  <c r="I10" i="90"/>
  <c r="I11" i="90" s="1"/>
  <c r="I12" i="90" s="1"/>
  <c r="J3" i="90"/>
  <c r="J5" i="90" s="1"/>
  <c r="E4" i="46"/>
  <c r="E5" i="46" s="1"/>
  <c r="F3" i="46"/>
  <c r="G10" i="38"/>
  <c r="H11" i="19"/>
  <c r="H12" i="19" s="1"/>
  <c r="H11" i="11"/>
  <c r="H12" i="11" s="1"/>
  <c r="I10" i="87"/>
  <c r="I11" i="87" s="1"/>
  <c r="I12" i="87" s="1"/>
  <c r="J3" i="87"/>
  <c r="J5" i="87" s="1"/>
  <c r="E14" i="33"/>
  <c r="E15" i="33" s="1"/>
  <c r="E16" i="33" s="1"/>
  <c r="E7" i="76" s="1"/>
  <c r="J10" i="13"/>
  <c r="J11" i="13" s="1"/>
  <c r="J12" i="13" s="1"/>
  <c r="K3" i="13"/>
  <c r="K5" i="13" s="1"/>
  <c r="K3" i="89"/>
  <c r="K5" i="89" s="1"/>
  <c r="J10" i="89"/>
  <c r="J11" i="89" s="1"/>
  <c r="J12" i="89" s="1"/>
  <c r="D14" i="37"/>
  <c r="D15" i="37" s="1"/>
  <c r="D16" i="37" s="1"/>
  <c r="D35" i="76" s="1"/>
  <c r="I14" i="15"/>
  <c r="I15" i="15" s="1"/>
  <c r="I16" i="15" s="1"/>
  <c r="I10" i="76" s="1"/>
  <c r="G3" i="41"/>
  <c r="G5" i="41" s="1"/>
  <c r="F10" i="41"/>
  <c r="F11" i="41" s="1"/>
  <c r="F12" i="41" s="1"/>
  <c r="K4" i="7"/>
  <c r="J10" i="7"/>
  <c r="J11" i="7" s="1"/>
  <c r="J12" i="7" s="1"/>
  <c r="E10" i="49"/>
  <c r="E11" i="49" s="1"/>
  <c r="E12" i="49" s="1"/>
  <c r="F3" i="49"/>
  <c r="F5" i="49" s="1"/>
  <c r="F10" i="36"/>
  <c r="F11" i="36" s="1"/>
  <c r="F12" i="36" s="1"/>
  <c r="G3" i="36"/>
  <c r="G5" i="36" s="1"/>
  <c r="J3" i="71"/>
  <c r="J5" i="71" s="1"/>
  <c r="K4" i="71"/>
  <c r="K3" i="71" s="1"/>
  <c r="K5" i="71" s="1"/>
  <c r="J10" i="14"/>
  <c r="J11" i="14" s="1"/>
  <c r="J12" i="14" s="1"/>
  <c r="K3" i="14"/>
  <c r="K5" i="14" s="1"/>
  <c r="J10" i="19"/>
  <c r="J11" i="19" s="1"/>
  <c r="J12" i="19" s="1"/>
  <c r="K3" i="19"/>
  <c r="K5" i="19" s="1"/>
  <c r="I10" i="83"/>
  <c r="I11" i="83" s="1"/>
  <c r="I12" i="83" s="1"/>
  <c r="J3" i="83"/>
  <c r="J5" i="83" s="1"/>
  <c r="I10" i="58"/>
  <c r="I11" i="58" s="1"/>
  <c r="I12" i="58" s="1"/>
  <c r="J3" i="58"/>
  <c r="J5" i="58" s="1"/>
  <c r="F3" i="32"/>
  <c r="F5" i="32" s="1"/>
  <c r="E10" i="32"/>
  <c r="E11" i="32" s="1"/>
  <c r="E12" i="32" s="1"/>
  <c r="K4" i="72"/>
  <c r="K3" i="72" s="1"/>
  <c r="K5" i="72" s="1"/>
  <c r="J3" i="72"/>
  <c r="J5" i="72" s="1"/>
  <c r="J10" i="51"/>
  <c r="J11" i="51" s="1"/>
  <c r="J12" i="51" s="1"/>
  <c r="K3" i="51"/>
  <c r="K5" i="51" s="1"/>
  <c r="J10" i="11"/>
  <c r="J11" i="11" s="1"/>
  <c r="J12" i="11" s="1"/>
  <c r="K3" i="11"/>
  <c r="K5" i="11" s="1"/>
  <c r="G14" i="17"/>
  <c r="G15" i="17" s="1"/>
  <c r="G16" i="17" s="1"/>
  <c r="G46" i="76" s="1"/>
  <c r="H14" i="83"/>
  <c r="H15" i="83" s="1"/>
  <c r="H16" i="83" s="1"/>
  <c r="H44" i="76" s="1"/>
  <c r="H14" i="5"/>
  <c r="H15" i="5" s="1"/>
  <c r="H16" i="5" s="1"/>
  <c r="H48" i="76" s="1"/>
  <c r="K3" i="8"/>
  <c r="K5" i="8" s="1"/>
  <c r="J10" i="8"/>
  <c r="J11" i="8" s="1"/>
  <c r="J12" i="8" s="1"/>
  <c r="H14" i="58"/>
  <c r="H15" i="58" s="1"/>
  <c r="H16" i="58" s="1"/>
  <c r="H56" i="76" s="1"/>
  <c r="J3" i="3"/>
  <c r="J5" i="3" s="1"/>
  <c r="I10" i="3"/>
  <c r="I11" i="3" s="1"/>
  <c r="I12" i="3" s="1"/>
  <c r="K3" i="82"/>
  <c r="I14" i="6"/>
  <c r="I15" i="6" s="1"/>
  <c r="I16" i="6" s="1"/>
  <c r="I37" i="76" s="1"/>
  <c r="I10" i="72"/>
  <c r="I11" i="72" s="1"/>
  <c r="I12" i="72" s="1"/>
  <c r="G14" i="8"/>
  <c r="G15" i="8" s="1"/>
  <c r="G16" i="8" s="1"/>
  <c r="G6" i="76" s="1"/>
  <c r="J10" i="80"/>
  <c r="J11" i="80" s="1"/>
  <c r="J12" i="80" s="1"/>
  <c r="K3" i="80"/>
  <c r="K5" i="80" s="1"/>
  <c r="K3" i="34"/>
  <c r="K5" i="34" s="1"/>
  <c r="J10" i="34"/>
  <c r="J11" i="34" s="1"/>
  <c r="J12" i="34" s="1"/>
  <c r="J10" i="18"/>
  <c r="J11" i="18" s="1"/>
  <c r="J12" i="18" s="1"/>
  <c r="K3" i="18"/>
  <c r="K5" i="18" s="1"/>
  <c r="K10" i="16"/>
  <c r="K11" i="16" s="1"/>
  <c r="K12" i="16" s="1"/>
  <c r="H14" i="87"/>
  <c r="H15" i="87" s="1"/>
  <c r="H16" i="87" s="1"/>
  <c r="H15" i="76" s="1"/>
  <c r="H11" i="16"/>
  <c r="H12" i="16" s="1"/>
  <c r="I14" i="13"/>
  <c r="I15" i="13" s="1"/>
  <c r="I16" i="13" s="1"/>
  <c r="I54" i="76" s="1"/>
  <c r="I14" i="89"/>
  <c r="I15" i="89" s="1"/>
  <c r="I16" i="89" s="1"/>
  <c r="I32" i="76" s="1"/>
  <c r="I10" i="71"/>
  <c r="I11" i="71" s="1"/>
  <c r="I12" i="71" s="1"/>
  <c r="J10" i="88"/>
  <c r="J11" i="88" s="1"/>
  <c r="J12" i="88" s="1"/>
  <c r="K3" i="88"/>
  <c r="E11" i="38"/>
  <c r="E12" i="38" s="1"/>
  <c r="D14" i="38"/>
  <c r="D15" i="38" s="1"/>
  <c r="D16" i="38" s="1"/>
  <c r="D4" i="76" s="1"/>
  <c r="G14" i="7"/>
  <c r="G15" i="7" s="1"/>
  <c r="G16" i="7" s="1"/>
  <c r="G47" i="76" s="1"/>
  <c r="H11" i="7"/>
  <c r="H12" i="7" s="1"/>
  <c r="H3" i="38" l="1"/>
  <c r="H5" i="38" s="1"/>
  <c r="K5" i="81"/>
  <c r="K10" i="81" s="1"/>
  <c r="K11" i="81" s="1"/>
  <c r="K12" i="81" s="1"/>
  <c r="K5" i="7"/>
  <c r="K10" i="7" s="1"/>
  <c r="K11" i="7" s="1"/>
  <c r="K12" i="7" s="1"/>
  <c r="K14" i="7" s="1"/>
  <c r="K15" i="7" s="1"/>
  <c r="K16" i="7" s="1"/>
  <c r="K47" i="76" s="1"/>
  <c r="F10" i="35"/>
  <c r="F11" i="35" s="1"/>
  <c r="F12" i="35" s="1"/>
  <c r="F14" i="35" s="1"/>
  <c r="F15" i="35" s="1"/>
  <c r="F16" i="35" s="1"/>
  <c r="F45" i="76" s="1"/>
  <c r="E10" i="46"/>
  <c r="E11" i="46" s="1"/>
  <c r="E12" i="46" s="1"/>
  <c r="E14" i="46" s="1"/>
  <c r="E15" i="46" s="1"/>
  <c r="E16" i="46" s="1"/>
  <c r="E16" i="76" s="1"/>
  <c r="K5" i="82"/>
  <c r="K10" i="82" s="1"/>
  <c r="K11" i="82" s="1"/>
  <c r="K12" i="82" s="1"/>
  <c r="K5" i="88"/>
  <c r="K10" i="88" s="1"/>
  <c r="G5" i="10"/>
  <c r="G10" i="10" s="1"/>
  <c r="G11" i="10" s="1"/>
  <c r="G12" i="10" s="1"/>
  <c r="G14" i="10" s="1"/>
  <c r="G15" i="10" s="1"/>
  <c r="G16" i="10" s="1"/>
  <c r="G49" i="76" s="1"/>
  <c r="H3" i="10"/>
  <c r="F5" i="48"/>
  <c r="F10" i="48" s="1"/>
  <c r="F11" i="48" s="1"/>
  <c r="F12" i="48" s="1"/>
  <c r="F14" i="48" s="1"/>
  <c r="F15" i="48" s="1"/>
  <c r="F16" i="48" s="1"/>
  <c r="F30" i="76" s="1"/>
  <c r="H14" i="16"/>
  <c r="H15" i="16" s="1"/>
  <c r="H16" i="16" s="1"/>
  <c r="H14" i="76" s="1"/>
  <c r="J14" i="82"/>
  <c r="J15" i="82" s="1"/>
  <c r="J16" i="82" s="1"/>
  <c r="J3" i="76" s="1"/>
  <c r="J14" i="89"/>
  <c r="J15" i="89" s="1"/>
  <c r="J16" i="89" s="1"/>
  <c r="J32" i="76" s="1"/>
  <c r="E14" i="37"/>
  <c r="E15" i="37" s="1"/>
  <c r="E16" i="37" s="1"/>
  <c r="E35" i="76" s="1"/>
  <c r="J14" i="15"/>
  <c r="J15" i="15" s="1"/>
  <c r="J16" i="15" s="1"/>
  <c r="J10" i="76" s="1"/>
  <c r="I14" i="4"/>
  <c r="I15" i="4" s="1"/>
  <c r="I16" i="4" s="1"/>
  <c r="I50" i="76" s="1"/>
  <c r="I14" i="5"/>
  <c r="I15" i="5" s="1"/>
  <c r="I16" i="5" s="1"/>
  <c r="I48" i="76" s="1"/>
  <c r="I14" i="3"/>
  <c r="I15" i="3" s="1"/>
  <c r="I16" i="3" s="1"/>
  <c r="I40" i="76" s="1"/>
  <c r="J14" i="8"/>
  <c r="J15" i="8" s="1"/>
  <c r="J16" i="8" s="1"/>
  <c r="J6" i="76" s="1"/>
  <c r="J14" i="11"/>
  <c r="J15" i="11" s="1"/>
  <c r="J16" i="11" s="1"/>
  <c r="J24" i="76" s="1"/>
  <c r="E14" i="50"/>
  <c r="E15" i="50" s="1"/>
  <c r="E16" i="50" s="1"/>
  <c r="E34" i="76" s="1"/>
  <c r="G14" i="47"/>
  <c r="G15" i="47" s="1"/>
  <c r="G16" i="47" s="1"/>
  <c r="G51" i="76" s="1"/>
  <c r="D14" i="40"/>
  <c r="D15" i="40" s="1"/>
  <c r="D16" i="40" s="1"/>
  <c r="D19" i="76" s="1"/>
  <c r="I14" i="84"/>
  <c r="I15" i="84" s="1"/>
  <c r="I16" i="84" s="1"/>
  <c r="I18" i="76" s="1"/>
  <c r="F14" i="33"/>
  <c r="F15" i="33" s="1"/>
  <c r="F16" i="33" s="1"/>
  <c r="F7" i="76" s="1"/>
  <c r="H14" i="8"/>
  <c r="H15" i="8" s="1"/>
  <c r="H16" i="8" s="1"/>
  <c r="H6" i="76" s="1"/>
  <c r="H14" i="9"/>
  <c r="H15" i="9" s="1"/>
  <c r="H16" i="9" s="1"/>
  <c r="H33" i="76" s="1"/>
  <c r="J14" i="86"/>
  <c r="J15" i="86" s="1"/>
  <c r="J16" i="86" s="1"/>
  <c r="J27" i="76" s="1"/>
  <c r="F14" i="36"/>
  <c r="F15" i="36" s="1"/>
  <c r="F16" i="36" s="1"/>
  <c r="F13" i="76" s="1"/>
  <c r="I14" i="83"/>
  <c r="I15" i="83" s="1"/>
  <c r="I16" i="83" s="1"/>
  <c r="I44" i="76" s="1"/>
  <c r="E14" i="49"/>
  <c r="E15" i="49" s="1"/>
  <c r="E16" i="49" s="1"/>
  <c r="E43" i="76" s="1"/>
  <c r="I14" i="71"/>
  <c r="I15" i="71" s="1"/>
  <c r="I16" i="71" s="1"/>
  <c r="I36" i="76" s="1"/>
  <c r="K14" i="16"/>
  <c r="K15" i="16" s="1"/>
  <c r="K16" i="16" s="1"/>
  <c r="K14" i="76" s="1"/>
  <c r="J14" i="14"/>
  <c r="J15" i="14" s="1"/>
  <c r="J16" i="14" s="1"/>
  <c r="J42" i="76" s="1"/>
  <c r="F14" i="41"/>
  <c r="F15" i="41" s="1"/>
  <c r="F16" i="41" s="1"/>
  <c r="F52" i="76" s="1"/>
  <c r="J14" i="13"/>
  <c r="J15" i="13" s="1"/>
  <c r="J16" i="13" s="1"/>
  <c r="J54" i="76" s="1"/>
  <c r="I14" i="90"/>
  <c r="I15" i="90" s="1"/>
  <c r="I16" i="90" s="1"/>
  <c r="I9" i="76" s="1"/>
  <c r="H14" i="29"/>
  <c r="H15" i="29" s="1"/>
  <c r="H16" i="29" s="1"/>
  <c r="H5" i="76" s="1"/>
  <c r="H14" i="13"/>
  <c r="H15" i="13" s="1"/>
  <c r="H16" i="13" s="1"/>
  <c r="H54" i="76" s="1"/>
  <c r="J14" i="17"/>
  <c r="J15" i="17" s="1"/>
  <c r="J16" i="17" s="1"/>
  <c r="J46" i="76" s="1"/>
  <c r="H14" i="15"/>
  <c r="H15" i="15" s="1"/>
  <c r="H16" i="15" s="1"/>
  <c r="H10" i="76" s="1"/>
  <c r="J14" i="34"/>
  <c r="J15" i="34" s="1"/>
  <c r="J16" i="34" s="1"/>
  <c r="J26" i="76" s="1"/>
  <c r="I14" i="58"/>
  <c r="I15" i="58" s="1"/>
  <c r="I16" i="58" s="1"/>
  <c r="I56" i="76" s="1"/>
  <c r="G10" i="42"/>
  <c r="G11" i="42" s="1"/>
  <c r="G12" i="42" s="1"/>
  <c r="H3" i="42"/>
  <c r="H5" i="42" s="1"/>
  <c r="D14" i="43"/>
  <c r="D15" i="43" s="1"/>
  <c r="D16" i="43" s="1"/>
  <c r="D29" i="76" s="1"/>
  <c r="K3" i="84"/>
  <c r="K5" i="84" s="1"/>
  <c r="J10" i="84"/>
  <c r="J11" i="84" s="1"/>
  <c r="J12" i="84" s="1"/>
  <c r="G10" i="33"/>
  <c r="G11" i="33" s="1"/>
  <c r="G12" i="33" s="1"/>
  <c r="H3" i="33"/>
  <c r="H5" i="33" s="1"/>
  <c r="K10" i="86"/>
  <c r="K11" i="86" s="1"/>
  <c r="K12" i="86" s="1"/>
  <c r="J14" i="6"/>
  <c r="J15" i="6" s="1"/>
  <c r="J16" i="6" s="1"/>
  <c r="J37" i="76" s="1"/>
  <c r="J10" i="5"/>
  <c r="J11" i="5" s="1"/>
  <c r="J12" i="5" s="1"/>
  <c r="K3" i="5"/>
  <c r="K5" i="5" s="1"/>
  <c r="K11" i="88"/>
  <c r="K12" i="88" s="1"/>
  <c r="K10" i="34"/>
  <c r="K11" i="34" s="1"/>
  <c r="K12" i="34" s="1"/>
  <c r="K10" i="11"/>
  <c r="K11" i="11" s="1"/>
  <c r="K12" i="11" s="1"/>
  <c r="K10" i="51"/>
  <c r="K11" i="51" s="1"/>
  <c r="K12" i="51" s="1"/>
  <c r="J10" i="58"/>
  <c r="J11" i="58" s="1"/>
  <c r="J12" i="58" s="1"/>
  <c r="K3" i="58"/>
  <c r="K5" i="58" s="1"/>
  <c r="K10" i="71"/>
  <c r="K11" i="71" s="1"/>
  <c r="K12" i="71" s="1"/>
  <c r="K14" i="71" s="1"/>
  <c r="K15" i="71" s="1"/>
  <c r="K16" i="71" s="1"/>
  <c r="K36" i="76" s="1"/>
  <c r="F10" i="49"/>
  <c r="F11" i="49" s="1"/>
  <c r="F12" i="49" s="1"/>
  <c r="G3" i="49"/>
  <c r="G5" i="49" s="1"/>
  <c r="G10" i="41"/>
  <c r="G11" i="41" s="1"/>
  <c r="G12" i="41" s="1"/>
  <c r="H3" i="41"/>
  <c r="H5" i="41" s="1"/>
  <c r="G3" i="46"/>
  <c r="F4" i="46"/>
  <c r="G4" i="35"/>
  <c r="G5" i="35" s="1"/>
  <c r="H3" i="35"/>
  <c r="F10" i="37"/>
  <c r="F11" i="37" s="1"/>
  <c r="F12" i="37" s="1"/>
  <c r="G3" i="37"/>
  <c r="G5" i="37" s="1"/>
  <c r="B14" i="42"/>
  <c r="B15" i="42" s="1"/>
  <c r="B16" i="42" s="1"/>
  <c r="B23" i="76" s="1"/>
  <c r="C14" i="42"/>
  <c r="C15" i="42" s="1"/>
  <c r="C16" i="42" s="1"/>
  <c r="C23" i="76" s="1"/>
  <c r="G10" i="45"/>
  <c r="G11" i="45" s="1"/>
  <c r="G12" i="45" s="1"/>
  <c r="H3" i="45"/>
  <c r="H5" i="45" s="1"/>
  <c r="D14" i="39"/>
  <c r="D15" i="39" s="1"/>
  <c r="D16" i="39" s="1"/>
  <c r="D8" i="76" s="1"/>
  <c r="H3" i="48"/>
  <c r="G4" i="48"/>
  <c r="J10" i="4"/>
  <c r="J11" i="4" s="1"/>
  <c r="J12" i="4" s="1"/>
  <c r="K3" i="4"/>
  <c r="K5" i="4" s="1"/>
  <c r="J14" i="80"/>
  <c r="J15" i="80" s="1"/>
  <c r="J16" i="80" s="1"/>
  <c r="J22" i="76" s="1"/>
  <c r="J10" i="3"/>
  <c r="J11" i="3" s="1"/>
  <c r="J12" i="3" s="1"/>
  <c r="K3" i="3"/>
  <c r="K5" i="3" s="1"/>
  <c r="K10" i="72"/>
  <c r="K11" i="72" s="1"/>
  <c r="K12" i="72" s="1"/>
  <c r="J14" i="19"/>
  <c r="J15" i="19" s="1"/>
  <c r="J16" i="19" s="1"/>
  <c r="J28" i="76" s="1"/>
  <c r="K10" i="13"/>
  <c r="K11" i="13" s="1"/>
  <c r="K12" i="13" s="1"/>
  <c r="H14" i="11"/>
  <c r="H15" i="11" s="1"/>
  <c r="H16" i="11" s="1"/>
  <c r="H24" i="76" s="1"/>
  <c r="J10" i="90"/>
  <c r="J11" i="90" s="1"/>
  <c r="J12" i="90" s="1"/>
  <c r="K3" i="90"/>
  <c r="K5" i="90" s="1"/>
  <c r="F14" i="42"/>
  <c r="F15" i="42" s="1"/>
  <c r="F16" i="42" s="1"/>
  <c r="F23" i="76" s="1"/>
  <c r="E10" i="31"/>
  <c r="E11" i="31" s="1"/>
  <c r="E12" i="31" s="1"/>
  <c r="F3" i="31"/>
  <c r="F5" i="31" s="1"/>
  <c r="J14" i="81"/>
  <c r="J15" i="81" s="1"/>
  <c r="J16" i="81" s="1"/>
  <c r="J17" i="76" s="1"/>
  <c r="K10" i="80"/>
  <c r="K11" i="80" s="1"/>
  <c r="K12" i="80" s="1"/>
  <c r="E14" i="32"/>
  <c r="E15" i="32" s="1"/>
  <c r="E16" i="32" s="1"/>
  <c r="E53" i="76" s="1"/>
  <c r="K10" i="19"/>
  <c r="K11" i="19" s="1"/>
  <c r="K12" i="19" s="1"/>
  <c r="K10" i="14"/>
  <c r="K11" i="14" s="1"/>
  <c r="K12" i="14" s="1"/>
  <c r="J10" i="71"/>
  <c r="J11" i="71" s="1"/>
  <c r="J12" i="71" s="1"/>
  <c r="G10" i="36"/>
  <c r="G11" i="36" s="1"/>
  <c r="G12" i="36" s="1"/>
  <c r="H3" i="36"/>
  <c r="H5" i="36" s="1"/>
  <c r="K10" i="89"/>
  <c r="K11" i="89" s="1"/>
  <c r="K12" i="89" s="1"/>
  <c r="H14" i="19"/>
  <c r="H15" i="19" s="1"/>
  <c r="H16" i="19" s="1"/>
  <c r="H28" i="76" s="1"/>
  <c r="I10" i="29"/>
  <c r="I11" i="29" s="1"/>
  <c r="I12" i="29" s="1"/>
  <c r="J3" i="29"/>
  <c r="J5" i="29" s="1"/>
  <c r="D14" i="42"/>
  <c r="D15" i="42" s="1"/>
  <c r="D16" i="42" s="1"/>
  <c r="D23" i="76" s="1"/>
  <c r="E14" i="42"/>
  <c r="E15" i="42" s="1"/>
  <c r="E16" i="42" s="1"/>
  <c r="E23" i="76" s="1"/>
  <c r="D14" i="31"/>
  <c r="D15" i="31" s="1"/>
  <c r="D16" i="31" s="1"/>
  <c r="D12" i="76" s="1"/>
  <c r="F14" i="45"/>
  <c r="F15" i="45" s="1"/>
  <c r="F16" i="45" s="1"/>
  <c r="F20" i="76" s="1"/>
  <c r="E10" i="43"/>
  <c r="E11" i="43" s="1"/>
  <c r="E12" i="43" s="1"/>
  <c r="F3" i="43"/>
  <c r="F5" i="43" s="1"/>
  <c r="G10" i="44"/>
  <c r="G11" i="44" s="1"/>
  <c r="G12" i="44" s="1"/>
  <c r="H3" i="44"/>
  <c r="H5" i="44" s="1"/>
  <c r="K10" i="17"/>
  <c r="K11" i="17" s="1"/>
  <c r="K12" i="17" s="1"/>
  <c r="H14" i="18"/>
  <c r="H15" i="18" s="1"/>
  <c r="H16" i="18" s="1"/>
  <c r="H25" i="76" s="1"/>
  <c r="K10" i="6"/>
  <c r="K11" i="6" s="1"/>
  <c r="K12" i="6" s="1"/>
  <c r="K10" i="18"/>
  <c r="K11" i="18" s="1"/>
  <c r="K12" i="18" s="1"/>
  <c r="I14" i="72"/>
  <c r="I15" i="72" s="1"/>
  <c r="I16" i="72" s="1"/>
  <c r="I31" i="76" s="1"/>
  <c r="K10" i="8"/>
  <c r="K11" i="8" s="1"/>
  <c r="K12" i="8" s="1"/>
  <c r="J14" i="51"/>
  <c r="J15" i="51" s="1"/>
  <c r="J16" i="51" s="1"/>
  <c r="J55" i="76" s="1"/>
  <c r="J10" i="87"/>
  <c r="J11" i="87" s="1"/>
  <c r="J12" i="87" s="1"/>
  <c r="K3" i="87"/>
  <c r="K5" i="87" s="1"/>
  <c r="K10" i="9"/>
  <c r="K11" i="9" s="1"/>
  <c r="K12" i="9" s="1"/>
  <c r="H14" i="6"/>
  <c r="H15" i="6" s="1"/>
  <c r="H16" i="6" s="1"/>
  <c r="H37" i="76" s="1"/>
  <c r="F3" i="39"/>
  <c r="F5" i="39" s="1"/>
  <c r="E10" i="39"/>
  <c r="E11" i="39" s="1"/>
  <c r="E12" i="39" s="1"/>
  <c r="H10" i="47"/>
  <c r="H11" i="47" s="1"/>
  <c r="H12" i="47" s="1"/>
  <c r="I3" i="47"/>
  <c r="I5" i="47" s="1"/>
  <c r="E10" i="40"/>
  <c r="E11" i="40" s="1"/>
  <c r="E12" i="40" s="1"/>
  <c r="F3" i="40"/>
  <c r="F5" i="40" s="1"/>
  <c r="J14" i="88"/>
  <c r="J15" i="88" s="1"/>
  <c r="J16" i="88" s="1"/>
  <c r="J21" i="76" s="1"/>
  <c r="J14" i="18"/>
  <c r="J15" i="18" s="1"/>
  <c r="J16" i="18" s="1"/>
  <c r="J25" i="76" s="1"/>
  <c r="J14" i="7"/>
  <c r="J15" i="7" s="1"/>
  <c r="J16" i="7" s="1"/>
  <c r="J47" i="76" s="1"/>
  <c r="I14" i="87"/>
  <c r="I15" i="87" s="1"/>
  <c r="I16" i="87" s="1"/>
  <c r="I15" i="76" s="1"/>
  <c r="J14" i="9"/>
  <c r="J15" i="9" s="1"/>
  <c r="J16" i="9" s="1"/>
  <c r="J33" i="76" s="1"/>
  <c r="H14" i="17"/>
  <c r="H15" i="17" s="1"/>
  <c r="H16" i="17" s="1"/>
  <c r="H46" i="76" s="1"/>
  <c r="J10" i="72"/>
  <c r="J11" i="72" s="1"/>
  <c r="J12" i="72" s="1"/>
  <c r="F10" i="32"/>
  <c r="F11" i="32" s="1"/>
  <c r="F12" i="32" s="1"/>
  <c r="G3" i="32"/>
  <c r="G5" i="32" s="1"/>
  <c r="J10" i="83"/>
  <c r="J11" i="83" s="1"/>
  <c r="J12" i="83" s="1"/>
  <c r="K3" i="83"/>
  <c r="K5" i="83" s="1"/>
  <c r="H10" i="38"/>
  <c r="I3" i="38"/>
  <c r="I5" i="38" s="1"/>
  <c r="F10" i="50"/>
  <c r="F11" i="50" s="1"/>
  <c r="F12" i="50" s="1"/>
  <c r="G3" i="50"/>
  <c r="G5" i="50" s="1"/>
  <c r="F14" i="44"/>
  <c r="F15" i="44" s="1"/>
  <c r="F16" i="44" s="1"/>
  <c r="F11" i="76" s="1"/>
  <c r="K10" i="15"/>
  <c r="K11" i="15" s="1"/>
  <c r="K12" i="15" s="1"/>
  <c r="E14" i="38"/>
  <c r="E15" i="38" s="1"/>
  <c r="E16" i="38" s="1"/>
  <c r="E4" i="76" s="1"/>
  <c r="F11" i="38"/>
  <c r="F12" i="38" s="1"/>
  <c r="H14" i="7"/>
  <c r="H15" i="7" s="1"/>
  <c r="H16" i="7" s="1"/>
  <c r="H47" i="76" s="1"/>
  <c r="H5" i="10" l="1"/>
  <c r="H10" i="10" s="1"/>
  <c r="H11" i="10" s="1"/>
  <c r="H12" i="10" s="1"/>
  <c r="H14" i="10" s="1"/>
  <c r="H15" i="10" s="1"/>
  <c r="H16" i="10" s="1"/>
  <c r="H49" i="76" s="1"/>
  <c r="I3" i="10"/>
  <c r="G5" i="48"/>
  <c r="G10" i="48" s="1"/>
  <c r="G11" i="48" s="1"/>
  <c r="G12" i="48" s="1"/>
  <c r="G14" i="48" s="1"/>
  <c r="G15" i="48" s="1"/>
  <c r="G16" i="48" s="1"/>
  <c r="G30" i="76" s="1"/>
  <c r="G10" i="35"/>
  <c r="G11" i="35" s="1"/>
  <c r="G12" i="35" s="1"/>
  <c r="G14" i="35" s="1"/>
  <c r="G15" i="35" s="1"/>
  <c r="G16" i="35" s="1"/>
  <c r="G45" i="76" s="1"/>
  <c r="F5" i="46"/>
  <c r="F10" i="46" s="1"/>
  <c r="F11" i="46" s="1"/>
  <c r="F12" i="46" s="1"/>
  <c r="F14" i="46" s="1"/>
  <c r="F15" i="46" s="1"/>
  <c r="F16" i="46" s="1"/>
  <c r="F16" i="76" s="1"/>
  <c r="K14" i="82"/>
  <c r="K15" i="82" s="1"/>
  <c r="K16" i="82" s="1"/>
  <c r="K3" i="76" s="1"/>
  <c r="G14" i="44"/>
  <c r="G15" i="44" s="1"/>
  <c r="G16" i="44" s="1"/>
  <c r="G11" i="76" s="1"/>
  <c r="K14" i="19"/>
  <c r="K15" i="19" s="1"/>
  <c r="K16" i="19" s="1"/>
  <c r="K28" i="76" s="1"/>
  <c r="E14" i="31"/>
  <c r="E15" i="31" s="1"/>
  <c r="E16" i="31" s="1"/>
  <c r="E12" i="76" s="1"/>
  <c r="J14" i="3"/>
  <c r="J15" i="3" s="1"/>
  <c r="J16" i="3" s="1"/>
  <c r="J40" i="76" s="1"/>
  <c r="J14" i="58"/>
  <c r="J15" i="58" s="1"/>
  <c r="J16" i="58" s="1"/>
  <c r="J56" i="76" s="1"/>
  <c r="K14" i="15"/>
  <c r="K15" i="15" s="1"/>
  <c r="K16" i="15" s="1"/>
  <c r="K10" i="76" s="1"/>
  <c r="F14" i="32"/>
  <c r="F15" i="32" s="1"/>
  <c r="F16" i="32" s="1"/>
  <c r="F53" i="76" s="1"/>
  <c r="K14" i="9"/>
  <c r="K15" i="9" s="1"/>
  <c r="K16" i="9" s="1"/>
  <c r="K33" i="76" s="1"/>
  <c r="K14" i="13"/>
  <c r="K15" i="13" s="1"/>
  <c r="K16" i="13" s="1"/>
  <c r="K54" i="76" s="1"/>
  <c r="K14" i="51"/>
  <c r="K15" i="51" s="1"/>
  <c r="K16" i="51" s="1"/>
  <c r="K55" i="76" s="1"/>
  <c r="K14" i="88"/>
  <c r="K15" i="88" s="1"/>
  <c r="K16" i="88" s="1"/>
  <c r="K21" i="76" s="1"/>
  <c r="J14" i="5"/>
  <c r="J15" i="5" s="1"/>
  <c r="J16" i="5" s="1"/>
  <c r="J48" i="76" s="1"/>
  <c r="G14" i="42"/>
  <c r="G15" i="42" s="1"/>
  <c r="G16" i="42" s="1"/>
  <c r="G23" i="76" s="1"/>
  <c r="K14" i="8"/>
  <c r="K15" i="8" s="1"/>
  <c r="K16" i="8" s="1"/>
  <c r="K6" i="76" s="1"/>
  <c r="G14" i="33"/>
  <c r="G15" i="33" s="1"/>
  <c r="G16" i="33" s="1"/>
  <c r="G7" i="76" s="1"/>
  <c r="K14" i="17"/>
  <c r="K15" i="17" s="1"/>
  <c r="K16" i="17" s="1"/>
  <c r="K46" i="76" s="1"/>
  <c r="K14" i="81"/>
  <c r="K15" i="81" s="1"/>
  <c r="K16" i="81" s="1"/>
  <c r="K17" i="76" s="1"/>
  <c r="K14" i="89"/>
  <c r="K15" i="89" s="1"/>
  <c r="K16" i="89" s="1"/>
  <c r="K32" i="76" s="1"/>
  <c r="J14" i="71"/>
  <c r="J15" i="71" s="1"/>
  <c r="J16" i="71" s="1"/>
  <c r="J36" i="76" s="1"/>
  <c r="G14" i="45"/>
  <c r="G15" i="45" s="1"/>
  <c r="G16" i="45" s="1"/>
  <c r="G20" i="76" s="1"/>
  <c r="K14" i="11"/>
  <c r="K15" i="11" s="1"/>
  <c r="K16" i="11" s="1"/>
  <c r="K24" i="76" s="1"/>
  <c r="J14" i="83"/>
  <c r="J15" i="83" s="1"/>
  <c r="J16" i="83" s="1"/>
  <c r="J44" i="76" s="1"/>
  <c r="H14" i="47"/>
  <c r="H15" i="47" s="1"/>
  <c r="H16" i="47" s="1"/>
  <c r="H51" i="76" s="1"/>
  <c r="K14" i="6"/>
  <c r="K15" i="6" s="1"/>
  <c r="K16" i="6" s="1"/>
  <c r="K37" i="76" s="1"/>
  <c r="K14" i="14"/>
  <c r="K15" i="14" s="1"/>
  <c r="K16" i="14" s="1"/>
  <c r="K42" i="76" s="1"/>
  <c r="G14" i="41"/>
  <c r="G15" i="41" s="1"/>
  <c r="G16" i="41" s="1"/>
  <c r="G52" i="76" s="1"/>
  <c r="J14" i="72"/>
  <c r="J15" i="72" s="1"/>
  <c r="J16" i="72" s="1"/>
  <c r="J31" i="76" s="1"/>
  <c r="F10" i="40"/>
  <c r="F11" i="40" s="1"/>
  <c r="F12" i="40" s="1"/>
  <c r="G3" i="40"/>
  <c r="G5" i="40" s="1"/>
  <c r="E14" i="43"/>
  <c r="E15" i="43" s="1"/>
  <c r="E16" i="43" s="1"/>
  <c r="E29" i="76" s="1"/>
  <c r="G14" i="36"/>
  <c r="G15" i="36" s="1"/>
  <c r="G16" i="36" s="1"/>
  <c r="G13" i="76" s="1"/>
  <c r="J14" i="84"/>
  <c r="J15" i="84" s="1"/>
  <c r="J16" i="84" s="1"/>
  <c r="J18" i="76" s="1"/>
  <c r="F14" i="50"/>
  <c r="F15" i="50" s="1"/>
  <c r="F16" i="50" s="1"/>
  <c r="F34" i="76" s="1"/>
  <c r="G10" i="32"/>
  <c r="G11" i="32" s="1"/>
  <c r="G12" i="32" s="1"/>
  <c r="H3" i="32"/>
  <c r="H5" i="32" s="1"/>
  <c r="J14" i="87"/>
  <c r="J15" i="87" s="1"/>
  <c r="J16" i="87" s="1"/>
  <c r="J15" i="76" s="1"/>
  <c r="I14" i="29"/>
  <c r="I15" i="29" s="1"/>
  <c r="I16" i="29" s="1"/>
  <c r="I5" i="76" s="1"/>
  <c r="F10" i="31"/>
  <c r="F11" i="31" s="1"/>
  <c r="F12" i="31" s="1"/>
  <c r="G3" i="31"/>
  <c r="G5" i="31" s="1"/>
  <c r="K10" i="90"/>
  <c r="K11" i="90" s="1"/>
  <c r="K12" i="90" s="1"/>
  <c r="K10" i="3"/>
  <c r="K11" i="3" s="1"/>
  <c r="K12" i="3" s="1"/>
  <c r="J3" i="38"/>
  <c r="J5" i="38" s="1"/>
  <c r="I10" i="38"/>
  <c r="E14" i="39"/>
  <c r="E15" i="39" s="1"/>
  <c r="E16" i="39" s="1"/>
  <c r="E8" i="76" s="1"/>
  <c r="K14" i="72"/>
  <c r="K15" i="72" s="1"/>
  <c r="K16" i="72" s="1"/>
  <c r="K31" i="76" s="1"/>
  <c r="F14" i="49"/>
  <c r="F15" i="49" s="1"/>
  <c r="F16" i="49" s="1"/>
  <c r="F43" i="76" s="1"/>
  <c r="K10" i="5"/>
  <c r="K11" i="5" s="1"/>
  <c r="K12" i="5" s="1"/>
  <c r="F10" i="43"/>
  <c r="F11" i="43" s="1"/>
  <c r="F12" i="43" s="1"/>
  <c r="G3" i="43"/>
  <c r="G5" i="43" s="1"/>
  <c r="K10" i="4"/>
  <c r="K11" i="4" s="1"/>
  <c r="K12" i="4" s="1"/>
  <c r="H3" i="37"/>
  <c r="H5" i="37" s="1"/>
  <c r="G10" i="37"/>
  <c r="G11" i="37" s="1"/>
  <c r="G12" i="37" s="1"/>
  <c r="K14" i="86"/>
  <c r="K15" i="86" s="1"/>
  <c r="K16" i="86" s="1"/>
  <c r="K27" i="76" s="1"/>
  <c r="J14" i="90"/>
  <c r="J15" i="90" s="1"/>
  <c r="J16" i="90" s="1"/>
  <c r="J9" i="76" s="1"/>
  <c r="J14" i="4"/>
  <c r="J15" i="4" s="1"/>
  <c r="J16" i="4" s="1"/>
  <c r="J50" i="76" s="1"/>
  <c r="F14" i="37"/>
  <c r="F15" i="37" s="1"/>
  <c r="F16" i="37" s="1"/>
  <c r="F35" i="76" s="1"/>
  <c r="G4" i="46"/>
  <c r="H3" i="46"/>
  <c r="G10" i="50"/>
  <c r="G11" i="50" s="1"/>
  <c r="G12" i="50" s="1"/>
  <c r="H3" i="50"/>
  <c r="H5" i="50" s="1"/>
  <c r="E14" i="40"/>
  <c r="E15" i="40" s="1"/>
  <c r="E16" i="40" s="1"/>
  <c r="E19" i="76" s="1"/>
  <c r="K10" i="87"/>
  <c r="K11" i="87" s="1"/>
  <c r="K12" i="87" s="1"/>
  <c r="K14" i="18"/>
  <c r="K15" i="18" s="1"/>
  <c r="K16" i="18" s="1"/>
  <c r="K25" i="76" s="1"/>
  <c r="J10" i="29"/>
  <c r="J11" i="29" s="1"/>
  <c r="J12" i="29" s="1"/>
  <c r="K3" i="29"/>
  <c r="K5" i="29" s="1"/>
  <c r="H10" i="36"/>
  <c r="H11" i="36" s="1"/>
  <c r="H12" i="36" s="1"/>
  <c r="I3" i="36"/>
  <c r="I5" i="36" s="1"/>
  <c r="K14" i="80"/>
  <c r="K15" i="80" s="1"/>
  <c r="K16" i="80" s="1"/>
  <c r="K22" i="76" s="1"/>
  <c r="I3" i="35"/>
  <c r="H4" i="35"/>
  <c r="H5" i="35" s="1"/>
  <c r="G10" i="49"/>
  <c r="G11" i="49" s="1"/>
  <c r="G12" i="49" s="1"/>
  <c r="H3" i="49"/>
  <c r="H5" i="49" s="1"/>
  <c r="K14" i="34"/>
  <c r="K15" i="34" s="1"/>
  <c r="K16" i="34" s="1"/>
  <c r="K26" i="76" s="1"/>
  <c r="K10" i="83"/>
  <c r="K11" i="83" s="1"/>
  <c r="K12" i="83" s="1"/>
  <c r="I10" i="47"/>
  <c r="I11" i="47" s="1"/>
  <c r="I12" i="47" s="1"/>
  <c r="J3" i="47"/>
  <c r="J5" i="47" s="1"/>
  <c r="G3" i="39"/>
  <c r="G5" i="39" s="1"/>
  <c r="F10" i="39"/>
  <c r="F11" i="39" s="1"/>
  <c r="F12" i="39" s="1"/>
  <c r="H10" i="44"/>
  <c r="H11" i="44" s="1"/>
  <c r="H12" i="44" s="1"/>
  <c r="I3" i="44"/>
  <c r="I5" i="44" s="1"/>
  <c r="H4" i="48"/>
  <c r="I3" i="48"/>
  <c r="H10" i="45"/>
  <c r="H11" i="45" s="1"/>
  <c r="H12" i="45" s="1"/>
  <c r="I3" i="45"/>
  <c r="I5" i="45" s="1"/>
  <c r="H10" i="41"/>
  <c r="H11" i="41" s="1"/>
  <c r="H12" i="41" s="1"/>
  <c r="I3" i="41"/>
  <c r="I5" i="41" s="1"/>
  <c r="K10" i="58"/>
  <c r="K11" i="58" s="1"/>
  <c r="K12" i="58" s="1"/>
  <c r="H10" i="33"/>
  <c r="H11" i="33" s="1"/>
  <c r="H12" i="33" s="1"/>
  <c r="I3" i="33"/>
  <c r="I5" i="33" s="1"/>
  <c r="K10" i="84"/>
  <c r="K11" i="84" s="1"/>
  <c r="K12" i="84" s="1"/>
  <c r="H10" i="42"/>
  <c r="H11" i="42" s="1"/>
  <c r="H12" i="42" s="1"/>
  <c r="I3" i="42"/>
  <c r="I5" i="42" s="1"/>
  <c r="G11" i="38"/>
  <c r="G12" i="38" s="1"/>
  <c r="F14" i="38"/>
  <c r="F15" i="38" s="1"/>
  <c r="F16" i="38" s="1"/>
  <c r="F4" i="76" s="1"/>
  <c r="I5" i="10" l="1"/>
  <c r="I10" i="10" s="1"/>
  <c r="I11" i="10" s="1"/>
  <c r="I12" i="10" s="1"/>
  <c r="I14" i="10" s="1"/>
  <c r="I15" i="10" s="1"/>
  <c r="I16" i="10" s="1"/>
  <c r="I49" i="76" s="1"/>
  <c r="J3" i="10"/>
  <c r="H5" i="48"/>
  <c r="H10" i="48" s="1"/>
  <c r="H11" i="48" s="1"/>
  <c r="H12" i="48" s="1"/>
  <c r="H14" i="48" s="1"/>
  <c r="H15" i="48" s="1"/>
  <c r="H16" i="48" s="1"/>
  <c r="H30" i="76" s="1"/>
  <c r="G5" i="46"/>
  <c r="G10" i="46" s="1"/>
  <c r="G11" i="46" s="1"/>
  <c r="G12" i="46" s="1"/>
  <c r="G14" i="46" s="1"/>
  <c r="G15" i="46" s="1"/>
  <c r="G16" i="46" s="1"/>
  <c r="G16" i="76" s="1"/>
  <c r="H10" i="35"/>
  <c r="H11" i="35" s="1"/>
  <c r="H12" i="35" s="1"/>
  <c r="H14" i="35" s="1"/>
  <c r="H15" i="35" s="1"/>
  <c r="H16" i="35" s="1"/>
  <c r="H45" i="76" s="1"/>
  <c r="K14" i="84"/>
  <c r="K15" i="84" s="1"/>
  <c r="K16" i="84" s="1"/>
  <c r="K18" i="76" s="1"/>
  <c r="H14" i="36"/>
  <c r="H15" i="36" s="1"/>
  <c r="H16" i="36" s="1"/>
  <c r="H13" i="76" s="1"/>
  <c r="G14" i="50"/>
  <c r="G15" i="50" s="1"/>
  <c r="G16" i="50" s="1"/>
  <c r="G34" i="76" s="1"/>
  <c r="K14" i="58"/>
  <c r="K15" i="58" s="1"/>
  <c r="K16" i="58" s="1"/>
  <c r="K56" i="76" s="1"/>
  <c r="K14" i="83"/>
  <c r="K15" i="83" s="1"/>
  <c r="K16" i="83" s="1"/>
  <c r="K44" i="76" s="1"/>
  <c r="H14" i="45"/>
  <c r="H15" i="45" s="1"/>
  <c r="H16" i="45" s="1"/>
  <c r="H20" i="76" s="1"/>
  <c r="K14" i="3"/>
  <c r="K15" i="3" s="1"/>
  <c r="K16" i="3" s="1"/>
  <c r="K40" i="76" s="1"/>
  <c r="K14" i="90"/>
  <c r="K15" i="90" s="1"/>
  <c r="K16" i="90" s="1"/>
  <c r="K9" i="76" s="1"/>
  <c r="F14" i="39"/>
  <c r="F15" i="39" s="1"/>
  <c r="F16" i="39" s="1"/>
  <c r="F8" i="76" s="1"/>
  <c r="K14" i="87"/>
  <c r="K15" i="87" s="1"/>
  <c r="K16" i="87" s="1"/>
  <c r="K15" i="76" s="1"/>
  <c r="F14" i="40"/>
  <c r="F15" i="40" s="1"/>
  <c r="F16" i="40" s="1"/>
  <c r="F19" i="76" s="1"/>
  <c r="I10" i="45"/>
  <c r="I11" i="45" s="1"/>
  <c r="I12" i="45" s="1"/>
  <c r="J3" i="45"/>
  <c r="J5" i="45" s="1"/>
  <c r="F14" i="43"/>
  <c r="F15" i="43" s="1"/>
  <c r="F16" i="43" s="1"/>
  <c r="F29" i="76" s="1"/>
  <c r="H14" i="42"/>
  <c r="H15" i="42" s="1"/>
  <c r="H16" i="42" s="1"/>
  <c r="H23" i="76" s="1"/>
  <c r="I4" i="35"/>
  <c r="J3" i="35"/>
  <c r="I10" i="36"/>
  <c r="I11" i="36" s="1"/>
  <c r="I12" i="36" s="1"/>
  <c r="J3" i="36"/>
  <c r="J5" i="36" s="1"/>
  <c r="I3" i="46"/>
  <c r="H4" i="46"/>
  <c r="G10" i="40"/>
  <c r="G11" i="40" s="1"/>
  <c r="G12" i="40" s="1"/>
  <c r="H3" i="40"/>
  <c r="H5" i="40" s="1"/>
  <c r="H14" i="33"/>
  <c r="H15" i="33" s="1"/>
  <c r="H16" i="33" s="1"/>
  <c r="H7" i="76" s="1"/>
  <c r="K10" i="29"/>
  <c r="K11" i="29" s="1"/>
  <c r="K12" i="29" s="1"/>
  <c r="K14" i="5"/>
  <c r="K15" i="5" s="1"/>
  <c r="K16" i="5" s="1"/>
  <c r="K48" i="76" s="1"/>
  <c r="K3" i="38"/>
  <c r="J10" i="38"/>
  <c r="F14" i="31"/>
  <c r="F15" i="31" s="1"/>
  <c r="F16" i="31" s="1"/>
  <c r="F12" i="76" s="1"/>
  <c r="I10" i="33"/>
  <c r="I11" i="33" s="1"/>
  <c r="I12" i="33" s="1"/>
  <c r="J3" i="33"/>
  <c r="J5" i="33" s="1"/>
  <c r="H14" i="41"/>
  <c r="H15" i="41" s="1"/>
  <c r="H16" i="41" s="1"/>
  <c r="H52" i="76" s="1"/>
  <c r="I10" i="44"/>
  <c r="I11" i="44" s="1"/>
  <c r="I12" i="44" s="1"/>
  <c r="J3" i="44"/>
  <c r="J5" i="44" s="1"/>
  <c r="H3" i="39"/>
  <c r="H5" i="39" s="1"/>
  <c r="G10" i="39"/>
  <c r="G11" i="39" s="1"/>
  <c r="G12" i="39" s="1"/>
  <c r="J14" i="29"/>
  <c r="J15" i="29" s="1"/>
  <c r="J16" i="29" s="1"/>
  <c r="J5" i="76" s="1"/>
  <c r="H10" i="37"/>
  <c r="H11" i="37" s="1"/>
  <c r="H12" i="37" s="1"/>
  <c r="I3" i="37"/>
  <c r="I5" i="37" s="1"/>
  <c r="G10" i="43"/>
  <c r="G11" i="43" s="1"/>
  <c r="G12" i="43" s="1"/>
  <c r="H3" i="43"/>
  <c r="H5" i="43" s="1"/>
  <c r="I10" i="41"/>
  <c r="I11" i="41" s="1"/>
  <c r="I12" i="41" s="1"/>
  <c r="J3" i="41"/>
  <c r="J5" i="41" s="1"/>
  <c r="H14" i="44"/>
  <c r="H15" i="44" s="1"/>
  <c r="H16" i="44" s="1"/>
  <c r="H11" i="76" s="1"/>
  <c r="J10" i="47"/>
  <c r="J11" i="47" s="1"/>
  <c r="J12" i="47" s="1"/>
  <c r="K3" i="47"/>
  <c r="K5" i="47" s="1"/>
  <c r="H10" i="49"/>
  <c r="H11" i="49" s="1"/>
  <c r="H12" i="49" s="1"/>
  <c r="I3" i="49"/>
  <c r="I5" i="49" s="1"/>
  <c r="K14" i="4"/>
  <c r="K15" i="4" s="1"/>
  <c r="K16" i="4" s="1"/>
  <c r="K50" i="76" s="1"/>
  <c r="G14" i="32"/>
  <c r="G15" i="32" s="1"/>
  <c r="G16" i="32" s="1"/>
  <c r="G53" i="76" s="1"/>
  <c r="I10" i="42"/>
  <c r="I11" i="42" s="1"/>
  <c r="I12" i="42" s="1"/>
  <c r="J3" i="42"/>
  <c r="J5" i="42" s="1"/>
  <c r="J3" i="48"/>
  <c r="I4" i="48"/>
  <c r="I5" i="48" s="1"/>
  <c r="I14" i="47"/>
  <c r="I15" i="47" s="1"/>
  <c r="I16" i="47" s="1"/>
  <c r="I51" i="76" s="1"/>
  <c r="G14" i="49"/>
  <c r="G15" i="49" s="1"/>
  <c r="G16" i="49" s="1"/>
  <c r="G43" i="76" s="1"/>
  <c r="G10" i="31"/>
  <c r="G11" i="31" s="1"/>
  <c r="G12" i="31" s="1"/>
  <c r="H3" i="31"/>
  <c r="H5" i="31" s="1"/>
  <c r="H10" i="32"/>
  <c r="H11" i="32" s="1"/>
  <c r="H12" i="32" s="1"/>
  <c r="I3" i="32"/>
  <c r="I5" i="32" s="1"/>
  <c r="H10" i="50"/>
  <c r="H11" i="50" s="1"/>
  <c r="H12" i="50" s="1"/>
  <c r="I3" i="50"/>
  <c r="I5" i="50" s="1"/>
  <c r="G14" i="37"/>
  <c r="G15" i="37" s="1"/>
  <c r="G16" i="37" s="1"/>
  <c r="G35" i="76" s="1"/>
  <c r="H11" i="38"/>
  <c r="H12" i="38" s="1"/>
  <c r="G14" i="38"/>
  <c r="G15" i="38" s="1"/>
  <c r="G16" i="38" s="1"/>
  <c r="G4" i="76" s="1"/>
  <c r="I10" i="48" l="1"/>
  <c r="I11" i="48" s="1"/>
  <c r="I12" i="48" s="1"/>
  <c r="I14" i="48" s="1"/>
  <c r="I15" i="48" s="1"/>
  <c r="I16" i="48" s="1"/>
  <c r="I30" i="76" s="1"/>
  <c r="K5" i="38"/>
  <c r="K10" i="38" s="1"/>
  <c r="H5" i="46"/>
  <c r="H10" i="46" s="1"/>
  <c r="H11" i="46" s="1"/>
  <c r="H12" i="46" s="1"/>
  <c r="H14" i="46" s="1"/>
  <c r="H15" i="46" s="1"/>
  <c r="H16" i="46" s="1"/>
  <c r="H16" i="76" s="1"/>
  <c r="I5" i="35"/>
  <c r="I10" i="35" s="1"/>
  <c r="I11" i="35" s="1"/>
  <c r="I12" i="35" s="1"/>
  <c r="I14" i="35" s="1"/>
  <c r="I15" i="35" s="1"/>
  <c r="I16" i="35" s="1"/>
  <c r="I45" i="76" s="1"/>
  <c r="J5" i="10"/>
  <c r="J10" i="10" s="1"/>
  <c r="J11" i="10" s="1"/>
  <c r="J12" i="10" s="1"/>
  <c r="J14" i="10" s="1"/>
  <c r="J15" i="10" s="1"/>
  <c r="J16" i="10" s="1"/>
  <c r="J49" i="76" s="1"/>
  <c r="K3" i="10"/>
  <c r="K5" i="10" s="1"/>
  <c r="K10" i="10" s="1"/>
  <c r="K11" i="10" s="1"/>
  <c r="K12" i="10" s="1"/>
  <c r="K14" i="10" s="1"/>
  <c r="K15" i="10" s="1"/>
  <c r="K16" i="10" s="1"/>
  <c r="K49" i="76" s="1"/>
  <c r="K14" i="29"/>
  <c r="K15" i="29" s="1"/>
  <c r="K16" i="29" s="1"/>
  <c r="K5" i="76" s="1"/>
  <c r="G14" i="39"/>
  <c r="G15" i="39" s="1"/>
  <c r="G16" i="39" s="1"/>
  <c r="G8" i="76" s="1"/>
  <c r="H14" i="50"/>
  <c r="H15" i="50" s="1"/>
  <c r="H16" i="50" s="1"/>
  <c r="H34" i="76" s="1"/>
  <c r="I14" i="42"/>
  <c r="I15" i="42" s="1"/>
  <c r="I16" i="42" s="1"/>
  <c r="I23" i="76" s="1"/>
  <c r="G14" i="43"/>
  <c r="G15" i="43" s="1"/>
  <c r="G16" i="43" s="1"/>
  <c r="G29" i="76" s="1"/>
  <c r="I14" i="41"/>
  <c r="I15" i="41" s="1"/>
  <c r="I16" i="41" s="1"/>
  <c r="I52" i="76" s="1"/>
  <c r="H14" i="32"/>
  <c r="H15" i="32" s="1"/>
  <c r="H16" i="32" s="1"/>
  <c r="H53" i="76" s="1"/>
  <c r="G14" i="40"/>
  <c r="G15" i="40" s="1"/>
  <c r="G16" i="40" s="1"/>
  <c r="G19" i="76" s="1"/>
  <c r="I14" i="33"/>
  <c r="I15" i="33" s="1"/>
  <c r="I16" i="33" s="1"/>
  <c r="I7" i="76" s="1"/>
  <c r="I10" i="50"/>
  <c r="I11" i="50" s="1"/>
  <c r="I12" i="50" s="1"/>
  <c r="J3" i="50"/>
  <c r="J5" i="50" s="1"/>
  <c r="I14" i="45"/>
  <c r="I15" i="45" s="1"/>
  <c r="I16" i="45" s="1"/>
  <c r="I20" i="76" s="1"/>
  <c r="J4" i="48"/>
  <c r="K3" i="48"/>
  <c r="J14" i="47"/>
  <c r="J15" i="47" s="1"/>
  <c r="J16" i="47" s="1"/>
  <c r="J51" i="76" s="1"/>
  <c r="H10" i="43"/>
  <c r="H11" i="43" s="1"/>
  <c r="H12" i="43" s="1"/>
  <c r="I3" i="43"/>
  <c r="I5" i="43" s="1"/>
  <c r="J10" i="33"/>
  <c r="J11" i="33" s="1"/>
  <c r="J12" i="33" s="1"/>
  <c r="K3" i="33"/>
  <c r="K5" i="33" s="1"/>
  <c r="J3" i="46"/>
  <c r="I4" i="46"/>
  <c r="I5" i="46" s="1"/>
  <c r="K3" i="45"/>
  <c r="K5" i="45" s="1"/>
  <c r="J10" i="45"/>
  <c r="J11" i="45" s="1"/>
  <c r="J12" i="45" s="1"/>
  <c r="J3" i="37"/>
  <c r="J5" i="37" s="1"/>
  <c r="I10" i="37"/>
  <c r="I11" i="37" s="1"/>
  <c r="I12" i="37" s="1"/>
  <c r="J4" i="35"/>
  <c r="J5" i="35" s="1"/>
  <c r="K3" i="35"/>
  <c r="H14" i="37"/>
  <c r="H15" i="37" s="1"/>
  <c r="H16" i="37" s="1"/>
  <c r="H35" i="76" s="1"/>
  <c r="I14" i="44"/>
  <c r="I15" i="44" s="1"/>
  <c r="I16" i="44" s="1"/>
  <c r="I11" i="76" s="1"/>
  <c r="G14" i="31"/>
  <c r="G15" i="31" s="1"/>
  <c r="G16" i="31" s="1"/>
  <c r="G12" i="76" s="1"/>
  <c r="H14" i="49"/>
  <c r="H15" i="49" s="1"/>
  <c r="H16" i="49" s="1"/>
  <c r="H43" i="76" s="1"/>
  <c r="K3" i="44"/>
  <c r="K5" i="44" s="1"/>
  <c r="J10" i="44"/>
  <c r="J11" i="44" s="1"/>
  <c r="J12" i="44" s="1"/>
  <c r="K3" i="36"/>
  <c r="K5" i="36" s="1"/>
  <c r="J10" i="36"/>
  <c r="J11" i="36" s="1"/>
  <c r="J12" i="36" s="1"/>
  <c r="H10" i="31"/>
  <c r="H11" i="31" s="1"/>
  <c r="H12" i="31" s="1"/>
  <c r="I3" i="31"/>
  <c r="I5" i="31" s="1"/>
  <c r="I10" i="49"/>
  <c r="I11" i="49" s="1"/>
  <c r="I12" i="49" s="1"/>
  <c r="J3" i="49"/>
  <c r="J5" i="49" s="1"/>
  <c r="K10" i="47"/>
  <c r="K11" i="47" s="1"/>
  <c r="K12" i="47" s="1"/>
  <c r="I3" i="39"/>
  <c r="I5" i="39" s="1"/>
  <c r="H10" i="39"/>
  <c r="H11" i="39" s="1"/>
  <c r="H12" i="39" s="1"/>
  <c r="I14" i="36"/>
  <c r="I15" i="36" s="1"/>
  <c r="I16" i="36" s="1"/>
  <c r="I13" i="76" s="1"/>
  <c r="I10" i="32"/>
  <c r="I11" i="32" s="1"/>
  <c r="I12" i="32" s="1"/>
  <c r="J3" i="32"/>
  <c r="J5" i="32" s="1"/>
  <c r="K3" i="42"/>
  <c r="K5" i="42" s="1"/>
  <c r="J10" i="42"/>
  <c r="J11" i="42" s="1"/>
  <c r="J12" i="42" s="1"/>
  <c r="K3" i="41"/>
  <c r="K5" i="41" s="1"/>
  <c r="J10" i="41"/>
  <c r="J11" i="41" s="1"/>
  <c r="J12" i="41" s="1"/>
  <c r="H10" i="40"/>
  <c r="H11" i="40" s="1"/>
  <c r="H12" i="40" s="1"/>
  <c r="I3" i="40"/>
  <c r="I5" i="40" s="1"/>
  <c r="I11" i="38"/>
  <c r="I12" i="38" s="1"/>
  <c r="H14" i="38"/>
  <c r="H15" i="38" s="1"/>
  <c r="H16" i="38" s="1"/>
  <c r="H4" i="76" s="1"/>
  <c r="J10" i="35" l="1"/>
  <c r="J11" i="35" s="1"/>
  <c r="J12" i="35" s="1"/>
  <c r="J14" i="35" s="1"/>
  <c r="J15" i="35" s="1"/>
  <c r="J16" i="35" s="1"/>
  <c r="J45" i="76" s="1"/>
  <c r="I10" i="46"/>
  <c r="I11" i="46" s="1"/>
  <c r="I12" i="46" s="1"/>
  <c r="J5" i="48"/>
  <c r="J10" i="48" s="1"/>
  <c r="J11" i="48" s="1"/>
  <c r="J12" i="48" s="1"/>
  <c r="J14" i="48" s="1"/>
  <c r="J15" i="48" s="1"/>
  <c r="J16" i="48" s="1"/>
  <c r="J30" i="76" s="1"/>
  <c r="I14" i="50"/>
  <c r="I15" i="50" s="1"/>
  <c r="I16" i="50" s="1"/>
  <c r="I34" i="76" s="1"/>
  <c r="K14" i="47"/>
  <c r="K15" i="47" s="1"/>
  <c r="K16" i="47" s="1"/>
  <c r="K51" i="76" s="1"/>
  <c r="I14" i="32"/>
  <c r="I15" i="32" s="1"/>
  <c r="I16" i="32" s="1"/>
  <c r="I53" i="76" s="1"/>
  <c r="H14" i="31"/>
  <c r="H15" i="31" s="1"/>
  <c r="H16" i="31" s="1"/>
  <c r="H12" i="76" s="1"/>
  <c r="J14" i="44"/>
  <c r="J15" i="44" s="1"/>
  <c r="J16" i="44" s="1"/>
  <c r="J11" i="76" s="1"/>
  <c r="J14" i="42"/>
  <c r="J15" i="42" s="1"/>
  <c r="J16" i="42" s="1"/>
  <c r="J23" i="76" s="1"/>
  <c r="I14" i="46"/>
  <c r="I15" i="46" s="1"/>
  <c r="I16" i="46" s="1"/>
  <c r="I16" i="76" s="1"/>
  <c r="H14" i="40"/>
  <c r="H15" i="40" s="1"/>
  <c r="H16" i="40" s="1"/>
  <c r="H19" i="76" s="1"/>
  <c r="K10" i="42"/>
  <c r="K11" i="42" s="1"/>
  <c r="K12" i="42" s="1"/>
  <c r="J3" i="39"/>
  <c r="J5" i="39" s="1"/>
  <c r="I10" i="39"/>
  <c r="I11" i="39" s="1"/>
  <c r="I12" i="39" s="1"/>
  <c r="J10" i="49"/>
  <c r="J11" i="49" s="1"/>
  <c r="J12" i="49" s="1"/>
  <c r="K3" i="49"/>
  <c r="K5" i="49" s="1"/>
  <c r="J14" i="45"/>
  <c r="J15" i="45" s="1"/>
  <c r="J16" i="45" s="1"/>
  <c r="J20" i="76" s="1"/>
  <c r="I10" i="40"/>
  <c r="I11" i="40" s="1"/>
  <c r="I12" i="40" s="1"/>
  <c r="J3" i="40"/>
  <c r="J5" i="40" s="1"/>
  <c r="J14" i="41"/>
  <c r="J15" i="41" s="1"/>
  <c r="J16" i="41" s="1"/>
  <c r="J52" i="76" s="1"/>
  <c r="K3" i="32"/>
  <c r="K5" i="32" s="1"/>
  <c r="J10" i="32"/>
  <c r="J11" i="32" s="1"/>
  <c r="J12" i="32" s="1"/>
  <c r="H14" i="39"/>
  <c r="H15" i="39" s="1"/>
  <c r="H16" i="39" s="1"/>
  <c r="H8" i="76" s="1"/>
  <c r="K4" i="35"/>
  <c r="I14" i="37"/>
  <c r="I15" i="37" s="1"/>
  <c r="I16" i="37" s="1"/>
  <c r="I35" i="76" s="1"/>
  <c r="K10" i="33"/>
  <c r="K11" i="33" s="1"/>
  <c r="K12" i="33" s="1"/>
  <c r="J10" i="50"/>
  <c r="J11" i="50" s="1"/>
  <c r="J12" i="50" s="1"/>
  <c r="K3" i="50"/>
  <c r="K5" i="50" s="1"/>
  <c r="J14" i="36"/>
  <c r="J15" i="36" s="1"/>
  <c r="J16" i="36" s="1"/>
  <c r="J13" i="76" s="1"/>
  <c r="J10" i="37"/>
  <c r="J11" i="37" s="1"/>
  <c r="J12" i="37" s="1"/>
  <c r="K3" i="37"/>
  <c r="K5" i="37" s="1"/>
  <c r="J4" i="46"/>
  <c r="J5" i="46" s="1"/>
  <c r="K3" i="46"/>
  <c r="I10" i="43"/>
  <c r="I11" i="43" s="1"/>
  <c r="I12" i="43" s="1"/>
  <c r="J3" i="43"/>
  <c r="J5" i="43" s="1"/>
  <c r="I14" i="49"/>
  <c r="I15" i="49" s="1"/>
  <c r="I16" i="49" s="1"/>
  <c r="I43" i="76" s="1"/>
  <c r="J14" i="33"/>
  <c r="J15" i="33" s="1"/>
  <c r="J16" i="33" s="1"/>
  <c r="J7" i="76" s="1"/>
  <c r="K10" i="41"/>
  <c r="K11" i="41" s="1"/>
  <c r="K12" i="41" s="1"/>
  <c r="K10" i="44"/>
  <c r="K11" i="44" s="1"/>
  <c r="K12" i="44" s="1"/>
  <c r="H14" i="43"/>
  <c r="H15" i="43" s="1"/>
  <c r="H16" i="43" s="1"/>
  <c r="H29" i="76" s="1"/>
  <c r="K4" i="48"/>
  <c r="K5" i="48" s="1"/>
  <c r="I10" i="31"/>
  <c r="I11" i="31" s="1"/>
  <c r="I12" i="31" s="1"/>
  <c r="J3" i="31"/>
  <c r="J5" i="31" s="1"/>
  <c r="K10" i="36"/>
  <c r="K11" i="36" s="1"/>
  <c r="K12" i="36" s="1"/>
  <c r="K10" i="45"/>
  <c r="K11" i="45" s="1"/>
  <c r="K12" i="45" s="1"/>
  <c r="I14" i="38"/>
  <c r="I15" i="38" s="1"/>
  <c r="I16" i="38" s="1"/>
  <c r="I4" i="76" s="1"/>
  <c r="J11" i="38"/>
  <c r="J12" i="38" s="1"/>
  <c r="K11" i="38"/>
  <c r="K12" i="38" s="1"/>
  <c r="J10" i="46" l="1"/>
  <c r="J11" i="46" s="1"/>
  <c r="J12" i="46" s="1"/>
  <c r="J14" i="46" s="1"/>
  <c r="J15" i="46" s="1"/>
  <c r="J16" i="46" s="1"/>
  <c r="J16" i="76" s="1"/>
  <c r="K10" i="48"/>
  <c r="K11" i="48" s="1"/>
  <c r="K12" i="48" s="1"/>
  <c r="K14" i="48" s="1"/>
  <c r="K15" i="48" s="1"/>
  <c r="K16" i="48" s="1"/>
  <c r="K30" i="76" s="1"/>
  <c r="K5" i="35"/>
  <c r="K10" i="35" s="1"/>
  <c r="K11" i="35" s="1"/>
  <c r="K12" i="35" s="1"/>
  <c r="K14" i="35" s="1"/>
  <c r="K15" i="35" s="1"/>
  <c r="K16" i="35" s="1"/>
  <c r="K45" i="76" s="1"/>
  <c r="J14" i="37"/>
  <c r="J15" i="37" s="1"/>
  <c r="J16" i="37" s="1"/>
  <c r="J35" i="76" s="1"/>
  <c r="K14" i="44"/>
  <c r="K15" i="44" s="1"/>
  <c r="K16" i="44" s="1"/>
  <c r="K11" i="76" s="1"/>
  <c r="K14" i="41"/>
  <c r="K15" i="41" s="1"/>
  <c r="K16" i="41" s="1"/>
  <c r="K52" i="76" s="1"/>
  <c r="I14" i="43"/>
  <c r="I15" i="43" s="1"/>
  <c r="I16" i="43" s="1"/>
  <c r="I29" i="76" s="1"/>
  <c r="K14" i="42"/>
  <c r="K15" i="42" s="1"/>
  <c r="K16" i="42" s="1"/>
  <c r="K23" i="76" s="1"/>
  <c r="I14" i="40"/>
  <c r="I15" i="40" s="1"/>
  <c r="I16" i="40" s="1"/>
  <c r="I19" i="76" s="1"/>
  <c r="I14" i="39"/>
  <c r="I15" i="39" s="1"/>
  <c r="I16" i="39" s="1"/>
  <c r="I8" i="76" s="1"/>
  <c r="K14" i="45"/>
  <c r="K15" i="45" s="1"/>
  <c r="K16" i="45" s="1"/>
  <c r="K20" i="76" s="1"/>
  <c r="K14" i="36"/>
  <c r="K15" i="36" s="1"/>
  <c r="K16" i="36" s="1"/>
  <c r="K13" i="76" s="1"/>
  <c r="J14" i="49"/>
  <c r="J15" i="49" s="1"/>
  <c r="J16" i="49" s="1"/>
  <c r="J43" i="76" s="1"/>
  <c r="K4" i="46"/>
  <c r="K10" i="37"/>
  <c r="K11" i="37" s="1"/>
  <c r="K12" i="37" s="1"/>
  <c r="I14" i="31"/>
  <c r="I15" i="31" s="1"/>
  <c r="I16" i="31" s="1"/>
  <c r="I12" i="76" s="1"/>
  <c r="J10" i="43"/>
  <c r="J11" i="43" s="1"/>
  <c r="J12" i="43" s="1"/>
  <c r="K3" i="43"/>
  <c r="K5" i="43" s="1"/>
  <c r="K14" i="33"/>
  <c r="K15" i="33" s="1"/>
  <c r="K16" i="33" s="1"/>
  <c r="K7" i="76" s="1"/>
  <c r="K10" i="50"/>
  <c r="K11" i="50" s="1"/>
  <c r="K12" i="50" s="1"/>
  <c r="J10" i="40"/>
  <c r="J11" i="40" s="1"/>
  <c r="J12" i="40" s="1"/>
  <c r="K3" i="40"/>
  <c r="K5" i="40" s="1"/>
  <c r="K10" i="49"/>
  <c r="K11" i="49" s="1"/>
  <c r="K12" i="49" s="1"/>
  <c r="K3" i="39"/>
  <c r="K5" i="39" s="1"/>
  <c r="J10" i="39"/>
  <c r="J11" i="39" s="1"/>
  <c r="J12" i="39" s="1"/>
  <c r="J14" i="50"/>
  <c r="J15" i="50" s="1"/>
  <c r="J16" i="50" s="1"/>
  <c r="J34" i="76" s="1"/>
  <c r="J14" i="32"/>
  <c r="J15" i="32" s="1"/>
  <c r="J16" i="32" s="1"/>
  <c r="J53" i="76" s="1"/>
  <c r="J10" i="31"/>
  <c r="J11" i="31" s="1"/>
  <c r="J12" i="31" s="1"/>
  <c r="K3" i="31"/>
  <c r="K5" i="31" s="1"/>
  <c r="K10" i="32"/>
  <c r="K11" i="32" s="1"/>
  <c r="K12" i="32" s="1"/>
  <c r="K14" i="38"/>
  <c r="K15" i="38" s="1"/>
  <c r="K16" i="38" s="1"/>
  <c r="K4" i="76" s="1"/>
  <c r="J14" i="38"/>
  <c r="J15" i="38" s="1"/>
  <c r="J16" i="38" s="1"/>
  <c r="J4" i="76" s="1"/>
  <c r="K5" i="46" l="1"/>
  <c r="K10" i="46" s="1"/>
  <c r="K11" i="46" s="1"/>
  <c r="K12" i="46" s="1"/>
  <c r="K14" i="46" s="1"/>
  <c r="K15" i="46" s="1"/>
  <c r="K16" i="46" s="1"/>
  <c r="K16" i="76" s="1"/>
  <c r="K14" i="50"/>
  <c r="K15" i="50" s="1"/>
  <c r="K16" i="50" s="1"/>
  <c r="K34" i="76" s="1"/>
  <c r="J14" i="31"/>
  <c r="J15" i="31" s="1"/>
  <c r="J16" i="31" s="1"/>
  <c r="J12" i="76" s="1"/>
  <c r="K14" i="49"/>
  <c r="K15" i="49" s="1"/>
  <c r="K16" i="49" s="1"/>
  <c r="K43" i="76" s="1"/>
  <c r="J14" i="40"/>
  <c r="J15" i="40" s="1"/>
  <c r="J16" i="40" s="1"/>
  <c r="J19" i="76" s="1"/>
  <c r="J14" i="43"/>
  <c r="J15" i="43" s="1"/>
  <c r="J16" i="43" s="1"/>
  <c r="J29" i="76" s="1"/>
  <c r="K14" i="32"/>
  <c r="K15" i="32" s="1"/>
  <c r="K16" i="32" s="1"/>
  <c r="K53" i="76" s="1"/>
  <c r="K10" i="31"/>
  <c r="K11" i="31" s="1"/>
  <c r="K12" i="31" s="1"/>
  <c r="K10" i="40"/>
  <c r="K11" i="40" s="1"/>
  <c r="K12" i="40" s="1"/>
  <c r="J14" i="39"/>
  <c r="J15" i="39" s="1"/>
  <c r="J16" i="39" s="1"/>
  <c r="J8" i="76" s="1"/>
  <c r="K14" i="37"/>
  <c r="K15" i="37" s="1"/>
  <c r="K16" i="37" s="1"/>
  <c r="K35" i="76" s="1"/>
  <c r="K10" i="43"/>
  <c r="K11" i="43" s="1"/>
  <c r="K12" i="43" s="1"/>
  <c r="K10" i="39"/>
  <c r="K11" i="39" s="1"/>
  <c r="K12" i="39" s="1"/>
  <c r="K14" i="31" l="1"/>
  <c r="K15" i="31" s="1"/>
  <c r="K16" i="31" s="1"/>
  <c r="K12" i="76" s="1"/>
  <c r="K14" i="40"/>
  <c r="K15" i="40" s="1"/>
  <c r="K16" i="40" s="1"/>
  <c r="K19" i="76" s="1"/>
  <c r="K14" i="43"/>
  <c r="K15" i="43" s="1"/>
  <c r="K16" i="43" s="1"/>
  <c r="K29" i="76" s="1"/>
  <c r="K14" i="39"/>
  <c r="K15" i="39" s="1"/>
  <c r="K16" i="39" s="1"/>
  <c r="K8" i="76" s="1"/>
</calcChain>
</file>

<file path=xl/sharedStrings.xml><?xml version="1.0" encoding="utf-8"?>
<sst xmlns="http://schemas.openxmlformats.org/spreadsheetml/2006/main" count="2366" uniqueCount="377">
  <si>
    <t>Modesto Irrigation District</t>
  </si>
  <si>
    <t>SCE</t>
  </si>
  <si>
    <t>Pasadena</t>
  </si>
  <si>
    <t>Sacramento Municipal Utility District (SMUD)</t>
  </si>
  <si>
    <t>City of Anaheim</t>
  </si>
  <si>
    <t>PacifiCorp</t>
  </si>
  <si>
    <t>Imperial Irrigation District</t>
  </si>
  <si>
    <t>LADWP</t>
  </si>
  <si>
    <t>SMUD</t>
  </si>
  <si>
    <t>Anaheim</t>
  </si>
  <si>
    <t>Silicon Valley Power</t>
  </si>
  <si>
    <t>Riverside</t>
  </si>
  <si>
    <t xml:space="preserve">PacifiCorp  </t>
  </si>
  <si>
    <t>Alameda Municipal Power</t>
  </si>
  <si>
    <t>City of Cerritos</t>
  </si>
  <si>
    <t>City of Industry</t>
  </si>
  <si>
    <t>Eastside Power Authority</t>
  </si>
  <si>
    <t>Gridley Electric Utility</t>
  </si>
  <si>
    <t>Lassen Municipal Utility District</t>
  </si>
  <si>
    <t>City of Lompoc</t>
  </si>
  <si>
    <t>City of Needles</t>
  </si>
  <si>
    <t>Port of Oakland</t>
  </si>
  <si>
    <t>Redding Electric Utility</t>
  </si>
  <si>
    <t>City of Riverside Public Utilities</t>
  </si>
  <si>
    <t>Silicon Valley Power (SVP), City of Santa Clara</t>
  </si>
  <si>
    <t>Truckee Donner Public Utilities District</t>
  </si>
  <si>
    <t>City of Vernon, Vernon Gas &amp; Electric</t>
  </si>
  <si>
    <t>WAPA - Sierra Nevada Region</t>
  </si>
  <si>
    <t>Pittsburg Power Company</t>
  </si>
  <si>
    <t>Liberty Utilities (CalPeco Electric) LLC</t>
  </si>
  <si>
    <t>Valley Electric Association, Inc.</t>
  </si>
  <si>
    <t>Anza Electric Cooperative, Inc.</t>
  </si>
  <si>
    <t>Surprise Valley Electrification Corp.</t>
  </si>
  <si>
    <t>Turlock Irrigation District</t>
  </si>
  <si>
    <t>Pasadena Water and Power</t>
  </si>
  <si>
    <t>City of Vernon</t>
  </si>
  <si>
    <t>Form 1.1c - Statewide</t>
  </si>
  <si>
    <t>Electricity Deliveries to End Users by Agency (GWh)</t>
  </si>
  <si>
    <t>Planning Area</t>
  </si>
  <si>
    <t>Agency</t>
  </si>
  <si>
    <t>Average Annual Growth 2014 - 2026</t>
  </si>
  <si>
    <t>PGE</t>
  </si>
  <si>
    <t>Calaveras Public Power Agency</t>
  </si>
  <si>
    <t>City of Alameda</t>
  </si>
  <si>
    <t>City of Biggs</t>
  </si>
  <si>
    <t>City of Gridley</t>
  </si>
  <si>
    <t>City of Healdsburg</t>
  </si>
  <si>
    <t>City of Hercules</t>
  </si>
  <si>
    <t>City of Lodi</t>
  </si>
  <si>
    <t>City of Palo Alto</t>
  </si>
  <si>
    <t>City of San Francisco</t>
  </si>
  <si>
    <t>City of Ukiah</t>
  </si>
  <si>
    <t>Department of Water Resources (North)</t>
  </si>
  <si>
    <t>Island Energy/Pittsburg</t>
  </si>
  <si>
    <t>Pacific Gas and Electric Company (Bundled)</t>
  </si>
  <si>
    <t>Pacific Gas and Electric Company (Direct Access)</t>
  </si>
  <si>
    <t>Pacific Gas and Electric Company (Marin Clean Energy CCA)</t>
  </si>
  <si>
    <t>Pacific Gas and Electric Company (Sonoma Clean Power CCA)</t>
  </si>
  <si>
    <t>Plumas-Sierra Rural Electric Cooperation</t>
  </si>
  <si>
    <t>Port of Stockton</t>
  </si>
  <si>
    <t>Tuolumne County Public Power Agency</t>
  </si>
  <si>
    <t>WAPA (CAISO)</t>
  </si>
  <si>
    <t>PGE Total</t>
  </si>
  <si>
    <t>Azusa Light &amp; Water</t>
  </si>
  <si>
    <t>Bear Valley Electric Service</t>
  </si>
  <si>
    <t>City of Banning</t>
  </si>
  <si>
    <t>City of Colton</t>
  </si>
  <si>
    <t>City of Corona</t>
  </si>
  <si>
    <t>City of Pasadena</t>
  </si>
  <si>
    <t>City of Rancho Cucamonga</t>
  </si>
  <si>
    <t>City of Riverside</t>
  </si>
  <si>
    <t>Department of Water Resources (South)</t>
  </si>
  <si>
    <t>Metropolitan Water District</t>
  </si>
  <si>
    <t>Moreno Valley Utilities</t>
  </si>
  <si>
    <t>Southern California Edison Company (Bundled)</t>
  </si>
  <si>
    <t>Southern California Edison Company (Direct Access)</t>
  </si>
  <si>
    <t>Victorville Municipal</t>
  </si>
  <si>
    <t>SCE Total</t>
  </si>
  <si>
    <t>SDGE</t>
  </si>
  <si>
    <t>San Diego Gas and Electric Company (Bundled)</t>
  </si>
  <si>
    <t>San Diego Gas and Electric Company (Direct Access)</t>
  </si>
  <si>
    <t>SDGE Total</t>
  </si>
  <si>
    <t>Northern California Non-CAISO</t>
  </si>
  <si>
    <t>City of Redding</t>
  </si>
  <si>
    <t>City of Roseville</t>
  </si>
  <si>
    <t>City of Shasta Lake</t>
  </si>
  <si>
    <t>Merced Irrigation District</t>
  </si>
  <si>
    <t>Sacramento Municipal Utility District</t>
  </si>
  <si>
    <t>WAPA (BANC)</t>
  </si>
  <si>
    <t>Northern California Non-CAISO Total</t>
  </si>
  <si>
    <t>Los Angeles Department of Water and Power</t>
  </si>
  <si>
    <t>BUGL</t>
  </si>
  <si>
    <t>City of Burbank</t>
  </si>
  <si>
    <t>City of Glendale</t>
  </si>
  <si>
    <t>BUGL Total</t>
  </si>
  <si>
    <t>IID</t>
  </si>
  <si>
    <t>VEA</t>
  </si>
  <si>
    <t>OTHER</t>
  </si>
  <si>
    <t>Kirkwood Meadows Public Utility District</t>
  </si>
  <si>
    <t>Surprise Valley Electrification Corporation</t>
  </si>
  <si>
    <t>Truckee-Donner Public Utility District</t>
  </si>
  <si>
    <t>OTHER Total</t>
  </si>
  <si>
    <t>Statewide Total</t>
  </si>
  <si>
    <t>Total Pumping Load</t>
  </si>
  <si>
    <t>Total Statewide Retail Deliveries excluding pumping</t>
  </si>
  <si>
    <t>City of Victorville</t>
  </si>
  <si>
    <t>Kirkwood Meadows PUD</t>
  </si>
  <si>
    <t>Vernon</t>
  </si>
  <si>
    <t>Burbank</t>
  </si>
  <si>
    <t>Glendale</t>
  </si>
  <si>
    <t>Redding</t>
  </si>
  <si>
    <t>Roseville</t>
  </si>
  <si>
    <t>Merced</t>
  </si>
  <si>
    <t>CCSF</t>
  </si>
  <si>
    <t>Form 1.5a - Statewide</t>
  </si>
  <si>
    <t>Net Energy for Load by Agency and Balancing Authority (GWh)</t>
  </si>
  <si>
    <t>Balancing Authority</t>
  </si>
  <si>
    <t>NCPA - Greater Bay Area</t>
  </si>
  <si>
    <t>Other NP15 LSEs - Bay Area</t>
  </si>
  <si>
    <t>PG&amp;E Service Area - Greater Bay Area</t>
  </si>
  <si>
    <t>Greater Bay Area Subtotal</t>
  </si>
  <si>
    <t>CDWR-N</t>
  </si>
  <si>
    <t>NCPA - Non Bay Area</t>
  </si>
  <si>
    <t>Other NP15 LSEs - Non Bay Area</t>
  </si>
  <si>
    <t>PG&amp;E Service Area - Non Bay Area</t>
  </si>
  <si>
    <t>Total North of Path 15</t>
  </si>
  <si>
    <t>CDWR-ZP26</t>
  </si>
  <si>
    <t>PG&amp;E Service Area - ZP26</t>
  </si>
  <si>
    <t>Total Zone Path 26</t>
  </si>
  <si>
    <t>Total Valley</t>
  </si>
  <si>
    <t>Total North of Path 26</t>
  </si>
  <si>
    <t>Total Turlock Irrigation District Control Area</t>
  </si>
  <si>
    <t>Total BANC Control Area</t>
  </si>
  <si>
    <t>MWD</t>
  </si>
  <si>
    <t>Other SP15 LSEs - LA Basin</t>
  </si>
  <si>
    <t>SCE Service Area - LA Basin</t>
  </si>
  <si>
    <t>LA Basin Subtotal</t>
  </si>
  <si>
    <t>CDWR-S</t>
  </si>
  <si>
    <t>SCE Service Area - Big Creek Ventura</t>
  </si>
  <si>
    <t>Big Creek/Ventura Subtotal</t>
  </si>
  <si>
    <t>Other SP15 LSEs - Out of LA Basin</t>
  </si>
  <si>
    <t>SCE Service Area - Out of LA Basin</t>
  </si>
  <si>
    <t>Total SCE TAC Area</t>
  </si>
  <si>
    <t>SDG&amp;E Service Area</t>
  </si>
  <si>
    <t>Valley Electric Association</t>
  </si>
  <si>
    <t>Total South of Path 26</t>
  </si>
  <si>
    <t>Total LADWP Control Area</t>
  </si>
  <si>
    <t>Imperial Irrigation District Control Area</t>
  </si>
  <si>
    <t>Total CAISO</t>
  </si>
  <si>
    <t>Total Statewide</t>
  </si>
  <si>
    <t>Table developed based on actual 2014 data.</t>
  </si>
  <si>
    <t>In 2013, Valley Electric Association became a CAISO participating transmission owner.</t>
  </si>
  <si>
    <t>YEAR</t>
  </si>
  <si>
    <t>2014-2026 TOTAL</t>
  </si>
  <si>
    <t>Pacific Gas and Electric Company (Direct Access) includes BART.</t>
  </si>
  <si>
    <t>2013-2026 TOTAL</t>
  </si>
  <si>
    <t>California Energy Demand Revised/Final Forecast, 2016 - 2026, Mid Demand Baseline Case, No AAEE Savings</t>
  </si>
  <si>
    <t>Southern California Edison Company (Lancaster Choice Energy CCA)</t>
  </si>
  <si>
    <t>--</t>
  </si>
  <si>
    <t>Liberty Utilities</t>
  </si>
  <si>
    <t>This table includes retail sales and other deliveries only measured at the customer level. Losses and consumption served by self-generation are excluded. Table developed based on actual 2014 data.</t>
  </si>
  <si>
    <t>Table includes sales from entities outside of California control areas. Thus, total sales in row 76 are higher than state totals given in Form 1.1b.</t>
  </si>
  <si>
    <t>For PG&amp;E service territory, Bay Area Growth is based on projections for forecasting climate zone 1, non-Bay Area on climate zones 2-5, and ZP 26 on climate zone 6.</t>
  </si>
  <si>
    <t>For SCE service territory, LA Basin growth is based on projections for forecasting climate zone 7, Big Creek-Ventura on climate zones 8 and 9, and Out of LA Basin on climate zones 10 and 11.</t>
  </si>
  <si>
    <t>http://www.energy.ca.gov/2015_energypolicy/documents/2016-01-27_load_serving_entity_and_Balencing_authority.php</t>
  </si>
  <si>
    <t>Maximum Transmission Loss Factor</t>
  </si>
  <si>
    <t>Energy to Serve Load (MWh)</t>
  </si>
  <si>
    <t>Retail Sales (raw) (MWh)</t>
  </si>
  <si>
    <t>Coal (MWh)</t>
  </si>
  <si>
    <t>Nuclear (MWh)</t>
  </si>
  <si>
    <t>Large Hydro (MWh)</t>
  </si>
  <si>
    <t>RPS Power (MWh)</t>
  </si>
  <si>
    <t>Natural Gas (MWh)</t>
  </si>
  <si>
    <t>Allowance Allocation Calculation for 2021-2030</t>
  </si>
  <si>
    <t>Source or Calculation Method</t>
  </si>
  <si>
    <t>City and County of San Francisco, SF Public Utilities Commission</t>
  </si>
  <si>
    <t>City of Anaheim, Public Utilities Department</t>
  </si>
  <si>
    <t>Utility</t>
  </si>
  <si>
    <t>City of Azusa</t>
  </si>
  <si>
    <t>City of Corona Dept. of Water &amp; Power</t>
  </si>
  <si>
    <t>City of Lompoc a Municipal Corporation</t>
  </si>
  <si>
    <t>City of Moreno Valley</t>
  </si>
  <si>
    <t>City of Oakland Acting By and Through Its Board of Port Commissioners</t>
  </si>
  <si>
    <t>Golden State Water Company (Bear Valley Electric Service)</t>
  </si>
  <si>
    <t>Los Angeles Department of Water &amp; Power</t>
  </si>
  <si>
    <t>Pacific Gas and Electric Company</t>
  </si>
  <si>
    <t>Plumas-Sierra Rural Electric Cooperative</t>
  </si>
  <si>
    <t>Power and Water Resources Pooling Authority</t>
  </si>
  <si>
    <t>San Diego Gas &amp; Electric Company</t>
  </si>
  <si>
    <t>Southern California Edison Company</t>
  </si>
  <si>
    <t>Stockton Port District</t>
  </si>
  <si>
    <t>Retail Sales (final) (MWh)</t>
  </si>
  <si>
    <t>Annual Allocation to Each Electrical Distribution Utility</t>
  </si>
  <si>
    <t>Constants Used in Calculations</t>
  </si>
  <si>
    <r>
      <t>EDU-Specific Emissions (MTCO</t>
    </r>
    <r>
      <rPr>
        <vertAlign val="subscript"/>
        <sz val="11"/>
        <rFont val="Calibri"/>
        <family val="2"/>
      </rPr>
      <t>2</t>
    </r>
    <r>
      <rPr>
        <sz val="11"/>
        <rFont val="Calibri"/>
        <family val="2"/>
      </rPr>
      <t>e)</t>
    </r>
  </si>
  <si>
    <r>
      <t>EDU-Specific Emission Factor (MTCO</t>
    </r>
    <r>
      <rPr>
        <vertAlign val="subscript"/>
        <sz val="11"/>
        <rFont val="Calibri"/>
        <family val="2"/>
      </rPr>
      <t>2</t>
    </r>
    <r>
      <rPr>
        <sz val="11"/>
        <rFont val="Calibri"/>
        <family val="2"/>
      </rPr>
      <t>e/MWh)</t>
    </r>
  </si>
  <si>
    <r>
      <t xml:space="preserve"> Industrial Covered Entity Emissions (MTCO</t>
    </r>
    <r>
      <rPr>
        <vertAlign val="subscript"/>
        <sz val="11"/>
        <rFont val="Calibri"/>
        <family val="2"/>
      </rPr>
      <t>2</t>
    </r>
    <r>
      <rPr>
        <sz val="11"/>
        <rFont val="Calibri"/>
        <family val="2"/>
      </rPr>
      <t>e)</t>
    </r>
  </si>
  <si>
    <t>Annual Allocation (allowances)</t>
  </si>
  <si>
    <r>
      <t>Natural Gas Emission Factor (MTCO</t>
    </r>
    <r>
      <rPr>
        <vertAlign val="subscript"/>
        <sz val="11"/>
        <color theme="1"/>
        <rFont val="Calibri"/>
        <family val="2"/>
        <scheme val="minor"/>
      </rPr>
      <t>2</t>
    </r>
    <r>
      <rPr>
        <sz val="11"/>
        <color theme="1"/>
        <rFont val="Calibri"/>
        <family val="2"/>
        <scheme val="minor"/>
      </rPr>
      <t>e/MWh)</t>
    </r>
  </si>
  <si>
    <r>
      <t>IPP Coal Emission Factor (as used for 2013-2020 allocations, except now adjusted to use AR4 emission factors) (MTCO</t>
    </r>
    <r>
      <rPr>
        <vertAlign val="subscript"/>
        <sz val="11"/>
        <color theme="1"/>
        <rFont val="Calibri"/>
        <family val="2"/>
        <scheme val="minor"/>
      </rPr>
      <t>2</t>
    </r>
    <r>
      <rPr>
        <sz val="11"/>
        <color theme="1"/>
        <rFont val="Calibri"/>
        <family val="2"/>
        <scheme val="minor"/>
      </rPr>
      <t>e/MWh)</t>
    </r>
  </si>
  <si>
    <r>
      <t>Minimum</t>
    </r>
    <r>
      <rPr>
        <sz val="11"/>
        <color rgb="FF000000"/>
        <rFont val="Calibri"/>
        <family val="2"/>
      </rPr>
      <t xml:space="preserve"> Natural Gas Percentage</t>
    </r>
  </si>
  <si>
    <t>Average Annual Growth from Form 1.5a (weighted average across service areas)</t>
  </si>
  <si>
    <t>Average Annual Growth from Form 1.5a</t>
  </si>
  <si>
    <t>Energy not provided by other sources, except not less than 5% of Energy to Serve Load</t>
  </si>
  <si>
    <t>Calculated emissions from coal and natural gas: Coal (MWh) times IPP Coal Emission Factor plus Natural Gas (MWh) times Natural Gas Emission Factor</t>
  </si>
  <si>
    <t>Baseline Industrial Covered Entity Purchased Electricity (MWh):</t>
  </si>
  <si>
    <t>EDU-Specific Emissions divided by Energy to Serve Load</t>
  </si>
  <si>
    <t>Electricity to Industrial Covered Entities times EDU-Specific Emissions Factor</t>
  </si>
  <si>
    <t>2021: average of 2013-2015, most recent data from S-2 form.  2022-2030: prior year's Energy to Serve Load multiplied by the Load Change Factor.</t>
  </si>
  <si>
    <t>2021-2026: from 2015 CEC Form 1.5a; 2027: average of 2024-2026 Energy to Serve Load multiplied by Average Annual Growth; 2028-2030: prior year Energy to Serve Load multiplied by Average Annual Growth</t>
  </si>
  <si>
    <t>2021: average of 2013-2015, most recent data from S-2 form.  2022-2030: prior year's Energy to Serve Load multiplied by Average Annual Growth</t>
  </si>
  <si>
    <t>2021-2026: from CEC Form 1.1c;  2027: average of 2024-2026 Retail Sales (raw) multiplied by Average Annual Growth; 2028-2030: prior year's Energy to Serve Load multiplied by Average Annual Growth</t>
  </si>
  <si>
    <t>Average Annual Growth from Form 1.1c</t>
  </si>
  <si>
    <t>2021: average of 2013-2015, which are most recent data from S-2 form.  2022-2030: prior year's Energy to Serve Load multiplied by Average Annual Growth</t>
  </si>
  <si>
    <t>Energy to Serve California Load (MWh)</t>
  </si>
  <si>
    <t>System-wide Coal (%)</t>
  </si>
  <si>
    <t>System-wide Zero-Emission Power (%)</t>
  </si>
  <si>
    <t>Natural Gas (%)</t>
  </si>
  <si>
    <t>References:</t>
  </si>
  <si>
    <r>
      <rPr>
        <vertAlign val="superscript"/>
        <sz val="11"/>
        <color theme="1"/>
        <rFont val="Calibri"/>
        <family val="2"/>
        <scheme val="minor"/>
      </rPr>
      <t>1</t>
    </r>
    <r>
      <rPr>
        <sz val="11"/>
        <color theme="1"/>
        <rFont val="Calibri"/>
        <family val="2"/>
        <scheme val="minor"/>
      </rPr>
      <t xml:space="preserve"> Table 2 –2015 IRP Update: Forecasted Annual Load Growth at Generation, before DSM Adjustment, Reduced for Distributed Generation; 2016-2025 (Megawatt-hours)</t>
    </r>
  </si>
  <si>
    <t xml:space="preserve">www.pacificorp.com/content/dam/pacificorp/doc/Energy_Sources/Integrated_Resource_Plan/2015%20IRP%20Update/2015_IRP_Update_Load_Forecast.pdf </t>
  </si>
  <si>
    <t>Average Annual Growth from PacifiCorp 2015 IRP Update supplement</t>
  </si>
  <si>
    <t>No coal reported in S-2</t>
  </si>
  <si>
    <t>No coal for 2021 or later reported in S-2</t>
  </si>
  <si>
    <t>No nuclear for 2021 or later reported in S-2</t>
  </si>
  <si>
    <t>No coal for 2021 or later per data provided by WAPA</t>
  </si>
  <si>
    <t>No nuclear for 2021 or later per data provided by WAPA</t>
  </si>
  <si>
    <t>No large hydro reported in S-2</t>
  </si>
  <si>
    <t>No nuclear reported in S-2</t>
  </si>
  <si>
    <t>Energy to Serve Load minus 7%, because no Form 1.1c data available</t>
  </si>
  <si>
    <t>2021-2024: from S-2;  2025-2030: average of 2022-2024 Large Hydro</t>
  </si>
  <si>
    <t>2021-2030: average of 2013-2014 from S-2 (power from Palo Verde Nuclear Generating Station)</t>
  </si>
  <si>
    <t>2021-2030: average of 2013-2014 from S-2</t>
  </si>
  <si>
    <t>2021-2024: from S-2 (power from IPP); 2025-2026: average of 2022-2024 Coal; 2027: 50% of 2026 Coal; 2028-2030: zero because IPP contract ends June 2027</t>
  </si>
  <si>
    <t>2021-2024: from S-2 (power from Palo Verde Nuclear Generating Station); 2025-2030: average of 2022-2024 Nuclear</t>
  </si>
  <si>
    <t>Average of 2013-2015 data provided by WAPA</t>
  </si>
  <si>
    <t>2021-2030: average of 2013-2015 from S-2</t>
  </si>
  <si>
    <t>Source of coal reported in S-2 expected to retire before 2021</t>
  </si>
  <si>
    <t>2021-2030: average of 2013-2015 from S-2 (power from Palo Verde Nuclear Generating Station)</t>
  </si>
  <si>
    <t>No S-2.  All non-RPS power assumed to be natural gas.</t>
  </si>
  <si>
    <t>No S-2.  No coal, nuclear or large hydro because staff confirmed with Liberty that all Energy to Serve Load in California is unspecified imports, assumed to be sourced from natural gas</t>
  </si>
  <si>
    <t>2021-2030: average of 2013-2015 from S-2, including only the 15% of "WAPA Purchases" which are large hydro, with the rest consisting of unspecified power assumed to be sourced from natural gas</t>
  </si>
  <si>
    <t>Average Annual Growth</t>
  </si>
  <si>
    <t>2021-2024: lesser of value from S-2 (power from IPP) and remainder of Energy to Serve Load not provided by other sources; 2025-2026: remainder of Energy to Serve Load not provided by other sources; 2027: 50% of 2026 Coal; 2028-2030: zero because IPP contract ends June 2027</t>
  </si>
  <si>
    <t>2021-2026: utility share from NCPA S-2, as updated and disaggregated by NCPA;  2027-2030: average of 2024-2026 Large Hydro</t>
  </si>
  <si>
    <t>No nuclear reported in NCPA S-2</t>
  </si>
  <si>
    <t>Minimum Natural Gas Percentage</t>
  </si>
  <si>
    <t>No coal reported in NCPA S-2</t>
  </si>
  <si>
    <t>Natural gas emission factor, MTCO2e/MWh</t>
  </si>
  <si>
    <t xml:space="preserve">http://www.energy.ca.gov/2015_energypolicy/documents/2016-01-27_load_serving_entity_and_Balencing_authority.php </t>
  </si>
  <si>
    <t>Baseline Industrial Covered Entity Purchased Electricity times EDU-Specific Emissions Factor</t>
  </si>
  <si>
    <t xml:space="preserve">www.pacificorp.com/content/dam/pacificorp/doc/Energy_Sources/Integrated_Resource_Plan/2015%20IRP%20Update/2015_IRP_Update_Projected_Energy_Mix.pdf </t>
  </si>
  <si>
    <t>EDU-Specific Emissions</t>
  </si>
  <si>
    <t>2021: Total kWh Sales from 2016 Utility Fact Sheet provided by utility, should match sales reported in later S-2; 2022-2030: prior year Retail Sales (raw) multiplied by Average Annual Growth</t>
  </si>
  <si>
    <t>2021-2026: utility share from NCPA S-2, as updated and disaggregated by NCPA; 2027: average of 2024-2026 Energy to Serve Load multiplied by Annual Average Growth; 2028-2030: prior year Energy to Serve Load multiplied by Average Annual Growth</t>
  </si>
  <si>
    <r>
      <t>2021-2025: CA load forecast from Table 2 of PacifiCorp 2015 IRP Update supplement provided by utility,</t>
    </r>
    <r>
      <rPr>
        <vertAlign val="superscript"/>
        <sz val="11"/>
        <color theme="1"/>
        <rFont val="Calibri"/>
        <family val="2"/>
        <scheme val="minor"/>
      </rPr>
      <t>1</t>
    </r>
    <r>
      <rPr>
        <sz val="11"/>
        <color theme="1"/>
        <rFont val="Calibri"/>
        <family val="2"/>
        <scheme val="minor"/>
      </rPr>
      <t xml:space="preserve"> which includes load expected to be met by energy efficiency; 2026: average of 2023-2025 Energy to Serve Load multiplied by Average Annual Growth; 2027-2030: prior year Energy to Serve Load multiplied by Average Annual Growth</t>
    </r>
  </si>
  <si>
    <r>
      <t>Coal percentage from confidential projected energy mix provided by utility, graphed in Projected Energy Mix with 2015 IRP Update Portfolio Resources</t>
    </r>
    <r>
      <rPr>
        <vertAlign val="superscript"/>
        <sz val="11"/>
        <color theme="1"/>
        <rFont val="Calibri"/>
        <family val="2"/>
        <scheme val="minor"/>
      </rPr>
      <t>2</t>
    </r>
    <r>
      <rPr>
        <sz val="11"/>
        <color theme="1"/>
        <rFont val="Calibri"/>
        <family val="2"/>
        <scheme val="minor"/>
      </rPr>
      <t xml:space="preserve"> </t>
    </r>
  </si>
  <si>
    <t>Calculated as sum of percentage System-wide Coal multiplied by IPP Coal Emission Factor plus percentage System-wide Natural Gas multiplied by Natural Gas Emission Factor</t>
  </si>
  <si>
    <t>This EDU provides electricity to fewer than five industrial covered entities.  Electricity data for these entities is used as part of calculating the EDU's allowance allocation. One or more of these entities identified their electricity usage data as confidential business information.  Therefore, this EDU's calculation is redacted.  The calculation spreadsheet has been provided directly to the EDU.</t>
  </si>
  <si>
    <t>http://www.siliconvalleypower.com/svp-and-community/about-svp/utility-fact-sheet</t>
  </si>
  <si>
    <r>
      <rPr>
        <vertAlign val="superscript"/>
        <sz val="11"/>
        <color theme="1"/>
        <rFont val="Calibri"/>
        <family val="2"/>
        <scheme val="minor"/>
      </rPr>
      <t>2</t>
    </r>
    <r>
      <rPr>
        <sz val="11"/>
        <color theme="1"/>
        <rFont val="Calibri"/>
        <family val="2"/>
        <scheme val="minor"/>
      </rPr>
      <t xml:space="preserve"> Projected Energy Mix with 2015 IRP Update Portfolio Resources (percents)</t>
    </r>
  </si>
  <si>
    <r>
      <t>2021: Purchased Power &amp; Generation for Retail from 2016 Utility Fact Sheet provided by utility,</t>
    </r>
    <r>
      <rPr>
        <vertAlign val="superscript"/>
        <sz val="11"/>
        <color theme="1"/>
        <rFont val="Calibri"/>
        <family val="2"/>
        <scheme val="minor"/>
      </rPr>
      <t>1</t>
    </r>
    <r>
      <rPr>
        <sz val="11"/>
        <color theme="1"/>
        <rFont val="Calibri"/>
        <family val="2"/>
        <scheme val="minor"/>
      </rPr>
      <t xml:space="preserve"> should match load reported in later S-2; 2022-2030: prior year Energy to Serve Load multiplied by Average Annual Growth</t>
    </r>
  </si>
  <si>
    <r>
      <t>2021: Total kWh from Part E4b of USDA RUS Form 7 provided by utility,</t>
    </r>
    <r>
      <rPr>
        <vertAlign val="superscript"/>
        <sz val="11"/>
        <color theme="1"/>
        <rFont val="Calibri"/>
        <family val="2"/>
        <scheme val="minor"/>
      </rPr>
      <t>1</t>
    </r>
    <r>
      <rPr>
        <sz val="11"/>
        <color theme="1"/>
        <rFont val="Calibri"/>
        <family val="2"/>
        <scheme val="minor"/>
      </rPr>
      <t xml:space="preserve"> should match load reported in later S-2; 2022-2030: prior year Energy to Serve Load multiplied by Average Annual Growth</t>
    </r>
  </si>
  <si>
    <t>http://www.anzaelectric.org/sites/anzaelectric/files/PDF/12-16%20RUS%20FORM%207%20STMT%20OF%20OPERATIONS.pdf</t>
  </si>
  <si>
    <r>
      <t>2021: Total kWh - Sold from Part E5b of USDA RUS Form 7 provided by utility,</t>
    </r>
    <r>
      <rPr>
        <vertAlign val="superscript"/>
        <sz val="11"/>
        <color theme="1"/>
        <rFont val="Calibri"/>
        <family val="2"/>
        <scheme val="minor"/>
      </rPr>
      <t>1</t>
    </r>
    <r>
      <rPr>
        <sz val="11"/>
        <color theme="1"/>
        <rFont val="Calibri"/>
        <family val="2"/>
        <scheme val="minor"/>
      </rPr>
      <t xml:space="preserve"> should match sales reported in later S-2; 2022-2030: prior year Retail Sales (raw) multiplied by Average Annual Growth</t>
    </r>
  </si>
  <si>
    <t>EDU-Specific Emissions less Industrial Covered Entity Emissions</t>
  </si>
  <si>
    <r>
      <t>Hydroelectric and Renewable percentages from confidential projected energy mix provided by utility, graphed in Projected Energy Mix with 2015 IRP Update Portfolio Resources;</t>
    </r>
    <r>
      <rPr>
        <vertAlign val="superscript"/>
        <sz val="11"/>
        <color theme="1"/>
        <rFont val="Calibri"/>
        <family val="2"/>
        <scheme val="minor"/>
      </rPr>
      <t>2</t>
    </r>
    <r>
      <rPr>
        <sz val="11"/>
        <color theme="1"/>
        <rFont val="Calibri"/>
        <family val="2"/>
        <scheme val="minor"/>
      </rPr>
      <t xml:space="preserve"> includes large hydro and renewable generation sufficient to meet all state's RPS requirements</t>
    </r>
  </si>
  <si>
    <t>Calculated as total power (%) less % for System-wide Coal and System-wide Zero Emission Power</t>
  </si>
  <si>
    <r>
      <t>2021-2026: from 2015 CEC Form 1.5a plus additional load contracted in 2015-2016</t>
    </r>
    <r>
      <rPr>
        <vertAlign val="superscript"/>
        <sz val="11"/>
        <color theme="1"/>
        <rFont val="Calibri"/>
        <family val="2"/>
        <scheme val="minor"/>
      </rPr>
      <t>1</t>
    </r>
    <r>
      <rPr>
        <sz val="11"/>
        <color theme="1"/>
        <rFont val="Calibri"/>
        <family val="2"/>
        <scheme val="minor"/>
      </rPr>
      <t>; 2027: average of 2024-2026 Energy to Serve Load multiplied by Average Annual Growth; 2028-2030: prior year Energy to Serve Load multiplied by Average Annual Growth</t>
    </r>
  </si>
  <si>
    <r>
      <t>2021-2026: from CEC Form 1.1c plus additional load contracted in 2015-2016</t>
    </r>
    <r>
      <rPr>
        <vertAlign val="superscript"/>
        <sz val="11"/>
        <color theme="1"/>
        <rFont val="Calibri"/>
        <family val="2"/>
        <scheme val="minor"/>
      </rPr>
      <t>1</t>
    </r>
    <r>
      <rPr>
        <sz val="11"/>
        <color theme="1"/>
        <rFont val="Calibri"/>
        <family val="2"/>
        <scheme val="minor"/>
      </rPr>
      <t>; 2027: average of 2024-2026 Retail Sales (raw) multiplied by Average Annual Growth; 2028-2030: prior year's Energy to Serve Load multiplied by Average Annual Growth</t>
    </r>
  </si>
  <si>
    <t>This workbook is a companion to the Second Notice of Public Availability of Modified Text and Availability of Additional Documents and/or Information to the California Cap on Greenhouse Gas Emissions and Market-Based Compliance Mechanisms Regulation (Second Notice).  The Second Notice is available at https://www.arb.ca.gov/regact/2016/capandtrade16/2nd15daynotice.pdf.</t>
  </si>
  <si>
    <t>Retail Sales (raw), except if greater than Energy to Serve Load in any year, then is Energy to Serve Load minus 7%</t>
  </si>
  <si>
    <t>2021-2024: from 2015 CEC Form 1.5a; 2025: average of 2022-2024 Energy to Serve Load multiplied by Average Annual Growth; 2025-2030: prior year Energy to Serve Load multiplied by Average Annual Growth</t>
  </si>
  <si>
    <r>
      <rPr>
        <vertAlign val="superscript"/>
        <sz val="11"/>
        <color theme="1"/>
        <rFont val="Calibri"/>
        <family val="2"/>
        <scheme val="minor"/>
      </rPr>
      <t>1</t>
    </r>
    <r>
      <rPr>
        <sz val="11"/>
        <color theme="1"/>
        <rFont val="Calibri"/>
        <family val="2"/>
        <scheme val="minor"/>
      </rPr>
      <t xml:space="preserve"> Utility Fact Sheet, Electric Utility, City of Santa Clara, FACT Sheet - JAN - DEC 2016, SVP 2017,</t>
    </r>
  </si>
  <si>
    <r>
      <rPr>
        <vertAlign val="superscript"/>
        <sz val="11"/>
        <color theme="1"/>
        <rFont val="Calibri"/>
        <family val="2"/>
        <scheme val="minor"/>
      </rPr>
      <t>1</t>
    </r>
    <r>
      <rPr>
        <sz val="11"/>
        <color theme="1"/>
        <rFont val="Calibri"/>
        <family val="2"/>
        <scheme val="minor"/>
      </rPr>
      <t xml:space="preserve"> Financial and Statistical Report, Anza Electric Cooperative, Inc. and ConnectAnza, USDA RUS Form 7, 2017,</t>
    </r>
  </si>
  <si>
    <t>Assumed Transmission Loss Factor When Sales Exceed Load</t>
  </si>
  <si>
    <t>2021-2030: Retail Sales (raw) divided by 1 minus Assumed Transmission Loss Factor When Sales Exceed Load</t>
  </si>
  <si>
    <t>Printed: 2/14/2017  7:17 am</t>
  </si>
  <si>
    <t>Customer</t>
  </si>
  <si>
    <t>Account #</t>
  </si>
  <si>
    <t>Meter #</t>
  </si>
  <si>
    <t>Bill Period</t>
  </si>
  <si>
    <t>On Peak</t>
  </si>
  <si>
    <t>Mid Peak</t>
  </si>
  <si>
    <t>Off Peak</t>
  </si>
  <si>
    <t>KWH</t>
  </si>
  <si>
    <t>01/2014</t>
  </si>
  <si>
    <t>02/2014</t>
  </si>
  <si>
    <t>03/2014</t>
  </si>
  <si>
    <t>04/2014</t>
  </si>
  <si>
    <t>05/2014</t>
  </si>
  <si>
    <t>06/2014</t>
  </si>
  <si>
    <t>07/2014</t>
  </si>
  <si>
    <t>08/2014</t>
  </si>
  <si>
    <t>09/2014</t>
  </si>
  <si>
    <t>10/2014</t>
  </si>
  <si>
    <t>11/2014</t>
  </si>
  <si>
    <t>12/2014</t>
  </si>
  <si>
    <t>01/2015</t>
  </si>
  <si>
    <t>02/2015</t>
  </si>
  <si>
    <t>03/2015</t>
  </si>
  <si>
    <t>04/2015</t>
  </si>
  <si>
    <t>05/2015</t>
  </si>
  <si>
    <t>06/2015</t>
  </si>
  <si>
    <t>07/2015</t>
  </si>
  <si>
    <t>08/2015</t>
  </si>
  <si>
    <t>09/2015</t>
  </si>
  <si>
    <t>10/2015</t>
  </si>
  <si>
    <t>11/2015</t>
  </si>
  <si>
    <t>12/2015</t>
  </si>
  <si>
    <t>01/2016</t>
  </si>
  <si>
    <t>02/2016</t>
  </si>
  <si>
    <t>03/2016</t>
  </si>
  <si>
    <t>04/2016</t>
  </si>
  <si>
    <t>05/2016</t>
  </si>
  <si>
    <t>06/2016</t>
  </si>
  <si>
    <t>07/2016</t>
  </si>
  <si>
    <t>08/2016</t>
  </si>
  <si>
    <t>09/2016</t>
  </si>
  <si>
    <t>10/2016</t>
  </si>
  <si>
    <t>11/2016</t>
  </si>
  <si>
    <t>12/2016</t>
  </si>
  <si>
    <t>Total</t>
  </si>
  <si>
    <t>KW</t>
  </si>
  <si>
    <t>TOTAL FOR METER: 54485116</t>
  </si>
  <si>
    <t>Expanded Facility Calculations</t>
  </si>
  <si>
    <t>Historical KWh Usage</t>
  </si>
  <si>
    <t>Facility Load</t>
  </si>
  <si>
    <t>Year</t>
  </si>
  <si>
    <t>MWh</t>
  </si>
  <si>
    <t>Data provided by utility</t>
  </si>
  <si>
    <t>Current Facility July to September KW</t>
  </si>
  <si>
    <r>
      <t>Contract provided by utility</t>
    </r>
    <r>
      <rPr>
        <vertAlign val="superscript"/>
        <sz val="11"/>
        <color theme="1"/>
        <rFont val="Calibri"/>
        <family val="2"/>
        <scheme val="minor"/>
      </rPr>
      <t>1</t>
    </r>
    <r>
      <rPr>
        <sz val="10"/>
        <color indexed="8"/>
        <rFont val="Arial"/>
        <family val="2"/>
      </rPr>
      <t xml:space="preserve"> </t>
    </r>
  </si>
  <si>
    <t>Current Facility May, June, October KW</t>
  </si>
  <si>
    <t>Current Facility November to April KW</t>
  </si>
  <si>
    <t>2014-2016 total</t>
  </si>
  <si>
    <t>Current Facility Annual Average KW</t>
  </si>
  <si>
    <t>Average across months</t>
  </si>
  <si>
    <t>Current Annual Average</t>
  </si>
  <si>
    <t>2014-2016 average</t>
  </si>
  <si>
    <t>Expanded Facility KW</t>
  </si>
  <si>
    <t>New Facility KW Relative to Current Facility KW</t>
  </si>
  <si>
    <t>Ratio of New Facility KW to Current Facility Average KW</t>
  </si>
  <si>
    <t>Estimated Additional Energy to Serve Expanded Facility</t>
  </si>
  <si>
    <t>Current Annual Average multiplied by New Facility KW Relative to Current Facility KW</t>
  </si>
  <si>
    <r>
      <rPr>
        <vertAlign val="superscript"/>
        <sz val="11"/>
        <color rgb="FF000000"/>
        <rFont val="Calibri"/>
        <family val="2"/>
        <scheme val="minor"/>
      </rPr>
      <t>1</t>
    </r>
    <r>
      <rPr>
        <sz val="11"/>
        <color indexed="8"/>
        <rFont val="Calibri"/>
        <family val="2"/>
        <scheme val="minor"/>
      </rPr>
      <t xml:space="preserve"> Agreement for Economic Development Incentive on Electric Service, contained in first linked PDF available at http://cityofvernon.org/departments/gas-and-electric/385-customer-agreements, Vernon, 2017B. </t>
    </r>
  </si>
  <si>
    <t>New Facility Calculations</t>
  </si>
  <si>
    <t>Contracted Maximum KW</t>
  </si>
  <si>
    <t>Hours in a Year</t>
  </si>
  <si>
    <t>Calculated</t>
  </si>
  <si>
    <t>Load Factor for Comparable Facilities Vernon Serves</t>
  </si>
  <si>
    <t>Estimated Load (MWh)</t>
  </si>
  <si>
    <t>Contracted Maximum KW multiplied by Hours in a Year and Load Factor for Comparable Facilities Vernon Serves</t>
  </si>
  <si>
    <r>
      <rPr>
        <vertAlign val="superscript"/>
        <sz val="11"/>
        <color rgb="FF000000"/>
        <rFont val="Calibri"/>
        <family val="2"/>
        <scheme val="minor"/>
      </rPr>
      <t>1</t>
    </r>
    <r>
      <rPr>
        <sz val="11"/>
        <color indexed="8"/>
        <rFont val="Calibri"/>
        <family val="2"/>
        <scheme val="minor"/>
      </rPr>
      <t xml:space="preserve"> City of Vernon Added Facilities Agreement, contained in second linked PDF available at http://cityofvernon.org/departments/gas-and-electric/385-customer-agreements, Vernon, 2017A. </t>
    </r>
  </si>
  <si>
    <r>
      <rPr>
        <vertAlign val="superscript"/>
        <sz val="11"/>
        <color rgb="FF000000"/>
        <rFont val="Calibri"/>
        <family val="2"/>
        <scheme val="minor"/>
      </rPr>
      <t>2</t>
    </r>
    <r>
      <rPr>
        <sz val="11"/>
        <color indexed="8"/>
        <rFont val="Calibri"/>
        <family val="2"/>
        <scheme val="minor"/>
      </rPr>
      <t xml:space="preserve"> Estimate of 70% suggested by utility.</t>
    </r>
  </si>
  <si>
    <t>Additional Energy to Serve Load (MWh)</t>
  </si>
  <si>
    <t>New Facility</t>
  </si>
  <si>
    <t>Expanding Facility</t>
  </si>
  <si>
    <t>Total Additional Energy to Serve Load</t>
  </si>
  <si>
    <t>Expanding Facility data provided to ARB by City of Vernon, Vernon Gas &amp; Electric</t>
  </si>
  <si>
    <r>
      <rPr>
        <vertAlign val="superscript"/>
        <sz val="11"/>
        <color rgb="FF000000"/>
        <rFont val="Calibri"/>
        <family val="2"/>
        <scheme val="minor"/>
      </rPr>
      <t>1</t>
    </r>
    <r>
      <rPr>
        <sz val="11"/>
        <color indexed="8"/>
        <rFont val="Calibri"/>
        <family val="2"/>
        <scheme val="minor"/>
      </rPr>
      <t xml:space="preserve"> For more detail on how additional load was calculated, see calculations in tab #Vernon Data.</t>
    </r>
  </si>
  <si>
    <r>
      <t>2021-2024: from S-2 (power from Diablo Canyon Generating Station); 2025: average of 2022-2024, prorated to include only January through end of March, representing the average closure time between Diablo Canyon unit license expirations in November 2024 and August 2025;</t>
    </r>
    <r>
      <rPr>
        <vertAlign val="superscript"/>
        <sz val="11"/>
        <color theme="1"/>
        <rFont val="Calibri"/>
        <family val="2"/>
        <scheme val="minor"/>
      </rPr>
      <t>1</t>
    </r>
    <r>
      <rPr>
        <sz val="11"/>
        <color theme="1"/>
        <rFont val="Calibri"/>
        <family val="2"/>
        <scheme val="minor"/>
      </rPr>
      <t xml:space="preserve"> 2026-2030: zero because Diablo Canyon expected to retire when licenses expire</t>
    </r>
  </si>
  <si>
    <r>
      <rPr>
        <vertAlign val="superscript"/>
        <sz val="11"/>
        <color theme="1"/>
        <rFont val="Calibri"/>
        <family val="2"/>
        <scheme val="minor"/>
      </rPr>
      <t>1</t>
    </r>
    <r>
      <rPr>
        <sz val="11"/>
        <color theme="1"/>
        <rFont val="Calibri"/>
        <family val="2"/>
        <scheme val="minor"/>
      </rPr>
      <t xml:space="preserve"> Diablo Canyon Power Plant, Unit 1, U.S. Nuclear Regulatory Commission, NRC 2017A,</t>
    </r>
  </si>
  <si>
    <t>and Diablo Canyon Power Plant, Unit 2, U.S. Nuclear Regulatory Commission, NRC 2017B,</t>
  </si>
  <si>
    <t>https://www.nrc.gov/info-finder/reactors/diab2.html</t>
  </si>
  <si>
    <t>https://www.nrc.gov/info-finder/reactors/diab1.html</t>
  </si>
  <si>
    <t>Linear increase from 2020 Renewable Portfolio Standard target of 33% to 2030 target of 50%, minus 5% to represent other electricity used to "firm and shape" zero-emissions electricity. Annually rounded to nearest whole percent</t>
  </si>
  <si>
    <t>2021-2024: from S-2 (power from IPP); 2025-2026: remainder of Energy to Serve Load not provided by other sources; 2027: 50% of 2026 Coal; 2028-2030: zero because IPP contract ends June 2027</t>
  </si>
  <si>
    <t>For each year 2013 through 2015, summed the actual electricity purchased by industrial covered entities served by the EDU, as reported in MRR. Took the average of those three values.  Represents electricity for which industrial covered entities would receive allocations</t>
  </si>
  <si>
    <r>
      <t>Natural gas emission factor, MTCO</t>
    </r>
    <r>
      <rPr>
        <vertAlign val="subscript"/>
        <sz val="11"/>
        <color rgb="FF000000"/>
        <rFont val="Calibri"/>
        <family val="2"/>
      </rPr>
      <t>2</t>
    </r>
    <r>
      <rPr>
        <sz val="11"/>
        <color rgb="FF000000"/>
        <rFont val="Calibri"/>
        <family val="2"/>
      </rPr>
      <t>e/MWh</t>
    </r>
  </si>
  <si>
    <r>
      <t>Conservative estimate provided by utility, based on 79% load factor average and 62%-95% load factor range for ten highest-demand facilities utility identified as comparable because they do large scale manufacturing, are on the same rate schedule and operate 24 hours a day, 7 days a week</t>
    </r>
    <r>
      <rPr>
        <vertAlign val="superscript"/>
        <sz val="11"/>
        <color theme="1"/>
        <rFont val="Calibri"/>
        <family val="2"/>
        <scheme val="minor"/>
      </rPr>
      <t>2</t>
    </r>
    <r>
      <rPr>
        <sz val="11"/>
        <color indexed="8"/>
        <rFont val="Calibri"/>
        <family val="2"/>
        <scheme val="minor"/>
      </rPr>
      <t xml:space="preserve"> </t>
    </r>
  </si>
  <si>
    <r>
      <t>Contract provided by utility</t>
    </r>
    <r>
      <rPr>
        <vertAlign val="superscript"/>
        <sz val="11"/>
        <color theme="1"/>
        <rFont val="Calibri"/>
        <family val="2"/>
        <scheme val="minor"/>
      </rPr>
      <t>1</t>
    </r>
    <r>
      <rPr>
        <sz val="11"/>
        <color indexed="8"/>
        <rFont val="Calibri"/>
        <family val="2"/>
        <scheme val="minor"/>
      </rPr>
      <t xml:space="preserve"> </t>
    </r>
  </si>
  <si>
    <t>Facility</t>
  </si>
  <si>
    <t>Energy not provided by other sources, except not less than 5% of Energy to Serve Load.  Assumes 2021-2026 Coal values are based on S-2 values, resulting in Natural Gas (MWh) being 5% of Energy to Serve Load</t>
  </si>
  <si>
    <t>Retail Sales (raw), except if greater than Energy to Serve Load in any year, then is Energy to Serve Load minus 7%, or if less than 15% below Energy to Serve Load in any year, then is Energy to Serve Load minus 15%</t>
  </si>
  <si>
    <t>RPS Factor Applied to Sales</t>
  </si>
  <si>
    <t>Retail Sales (final) times RPS Factor Applied to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</si>
</sst>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_);_(* \(#,##0\);_(* &quot;-&quot;??_);_(@_)"/>
    <numFmt numFmtId="165" formatCode="[$-409]mmmm\ d\,\ yyyy;@"/>
    <numFmt numFmtId="166" formatCode="0.0%"/>
    <numFmt numFmtId="167" formatCode="_(* #,##0.000_);_(* \(#,##0.000\);_(* &quot;-&quot;??_);_(@_)"/>
    <numFmt numFmtId="168" formatCode="&quot;$&quot;#,##0\ ;\(&quot;$&quot;#,##0\)"/>
    <numFmt numFmtId="169" formatCode="m/d"/>
    <numFmt numFmtId="170" formatCode="0.0000"/>
    <numFmt numFmtId="171" formatCode="0.000%"/>
    <numFmt numFmtId="172" formatCode="_(* #,##0.0000_);_(* \(#,##0.0000\);_(* &quot;-&quot;??_);_(@_)"/>
    <numFmt numFmtId="173" formatCode="_(* #,##0.0_);_(* \(#,##0.0\);_(* &quot;-&quot;??_);_(@_)"/>
  </numFmts>
  <fonts count="37" x14ac:knownFonts="1">
    <font>
      <sz val="11"/>
      <color theme="1"/>
      <name val="Calibri"/>
      <family val="2"/>
      <scheme val="minor"/>
    </font>
    <font>
      <sz val="11"/>
      <color theme="1"/>
      <name val="Calibri"/>
      <family val="2"/>
      <scheme val="minor"/>
    </font>
    <font>
      <sz val="12"/>
      <name val="Times New Roman"/>
      <family val="1"/>
    </font>
    <font>
      <sz val="10"/>
      <name val="Arial"/>
      <family val="2"/>
    </font>
    <font>
      <b/>
      <sz val="11"/>
      <color theme="1"/>
      <name val="Calibri"/>
      <family val="2"/>
      <scheme val="minor"/>
    </font>
    <font>
      <sz val="12"/>
      <name val="Arial"/>
      <family val="2"/>
    </font>
    <font>
      <b/>
      <sz val="12"/>
      <name val="Arial"/>
      <family val="2"/>
    </font>
    <font>
      <b/>
      <sz val="10"/>
      <name val="Arial"/>
      <family val="2"/>
    </font>
    <font>
      <b/>
      <sz val="10"/>
      <color theme="1"/>
      <name val="Arial"/>
      <family val="2"/>
    </font>
    <font>
      <sz val="11"/>
      <color rgb="FF000000"/>
      <name val="Calibri"/>
      <family val="2"/>
    </font>
    <font>
      <b/>
      <sz val="11"/>
      <color rgb="FF000000"/>
      <name val="Calibri"/>
      <family val="2"/>
    </font>
    <font>
      <i/>
      <sz val="11"/>
      <color rgb="FF000000"/>
      <name val="Calibri"/>
      <family val="2"/>
    </font>
    <font>
      <vertAlign val="subscript"/>
      <sz val="11"/>
      <color theme="1"/>
      <name val="Calibri"/>
      <family val="2"/>
      <scheme val="minor"/>
    </font>
    <font>
      <i/>
      <sz val="11"/>
      <name val="Calibri"/>
      <family val="2"/>
      <scheme val="minor"/>
    </font>
    <font>
      <sz val="11"/>
      <color theme="1"/>
      <name val="Arial"/>
      <family val="2"/>
    </font>
    <font>
      <sz val="12"/>
      <color theme="1"/>
      <name val="Arial"/>
      <family val="2"/>
    </font>
    <font>
      <sz val="9"/>
      <color theme="1"/>
      <name val="Arial"/>
      <family val="2"/>
    </font>
    <font>
      <sz val="10"/>
      <color theme="1"/>
      <name val="Arial"/>
      <family val="2"/>
    </font>
    <font>
      <b/>
      <sz val="11"/>
      <name val="Calibri"/>
      <family val="2"/>
    </font>
    <font>
      <i/>
      <sz val="11"/>
      <name val="Calibri"/>
      <family val="2"/>
    </font>
    <font>
      <sz val="11"/>
      <name val="Calibri"/>
      <family val="2"/>
    </font>
    <font>
      <vertAlign val="subscript"/>
      <sz val="11"/>
      <name val="Calibri"/>
      <family val="2"/>
    </font>
    <font>
      <b/>
      <sz val="11"/>
      <name val="Calibri"/>
      <family val="2"/>
      <scheme val="minor"/>
    </font>
    <font>
      <u/>
      <sz val="11"/>
      <color theme="10"/>
      <name val="Calibri"/>
      <family val="2"/>
      <scheme val="minor"/>
    </font>
    <font>
      <vertAlign val="superscript"/>
      <sz val="11"/>
      <color theme="1"/>
      <name val="Calibri"/>
      <family val="2"/>
      <scheme val="minor"/>
    </font>
    <font>
      <u/>
      <sz val="12"/>
      <color theme="10"/>
      <name val="Arial"/>
      <family val="2"/>
    </font>
    <font>
      <sz val="11"/>
      <color rgb="FF000000"/>
      <name val="Calibri"/>
      <family val="2"/>
      <scheme val="minor"/>
    </font>
    <font>
      <vertAlign val="superscript"/>
      <sz val="11"/>
      <color rgb="FF000000"/>
      <name val="Calibri"/>
      <family val="2"/>
      <scheme val="minor"/>
    </font>
    <font>
      <sz val="11"/>
      <color indexed="8"/>
      <name val="Calibri"/>
      <family val="2"/>
      <scheme val="minor"/>
    </font>
    <font>
      <sz val="10"/>
      <color indexed="8"/>
      <name val="Arial"/>
      <family val="2"/>
    </font>
    <font>
      <sz val="8"/>
      <color indexed="8"/>
      <name val="Arial"/>
      <family val="2"/>
    </font>
    <font>
      <b/>
      <sz val="10"/>
      <color indexed="8"/>
      <name val="Arial"/>
      <family val="2"/>
    </font>
    <font>
      <sz val="10"/>
      <color indexed="8"/>
      <name val="Arial"/>
      <family val="2"/>
    </font>
    <font>
      <b/>
      <sz val="11"/>
      <color indexed="8"/>
      <name val="Calibri"/>
      <family val="2"/>
      <scheme val="minor"/>
    </font>
    <font>
      <i/>
      <sz val="11"/>
      <color indexed="8"/>
      <name val="Calibri"/>
      <family val="2"/>
      <scheme val="minor"/>
    </font>
    <font>
      <sz val="11"/>
      <name val="Calibri"/>
      <family val="2"/>
      <scheme val="minor"/>
    </font>
    <font>
      <vertAlign val="subscript"/>
      <sz val="11"/>
      <color rgb="FF000000"/>
      <name val="Calibri"/>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499984740745262"/>
        <bgColor indexed="64"/>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top/>
      <bottom/>
      <diagonal/>
    </border>
    <border>
      <left style="thin">
        <color indexed="65"/>
      </left>
      <right/>
      <top style="thin">
        <color indexed="8"/>
      </top>
      <bottom style="thin">
        <color indexed="64"/>
      </bottom>
      <diagonal/>
    </border>
    <border>
      <left style="thin">
        <color indexed="65"/>
      </left>
      <right/>
      <top style="thin">
        <color indexed="8"/>
      </top>
      <bottom/>
      <diagonal/>
    </border>
    <border>
      <left style="thin">
        <color indexed="8"/>
      </left>
      <right style="thin">
        <color indexed="64"/>
      </right>
      <top style="thin">
        <color indexed="64"/>
      </top>
      <bottom/>
      <diagonal/>
    </border>
    <border>
      <left style="thin">
        <color indexed="8"/>
      </left>
      <right style="thin">
        <color indexed="8"/>
      </right>
      <top/>
      <bottom style="thin">
        <color indexed="8"/>
      </bottom>
      <diagonal/>
    </border>
    <border>
      <left style="thin">
        <color indexed="8"/>
      </left>
      <right/>
      <top style="thin">
        <color indexed="8"/>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bottom style="thin">
        <color indexed="8"/>
      </bottom>
      <diagonal/>
    </border>
    <border>
      <left/>
      <right/>
      <top style="thin">
        <color indexed="8"/>
      </top>
      <bottom/>
      <diagonal/>
    </border>
  </borders>
  <cellStyleXfs count="52">
    <xf numFmtId="0" fontId="0"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1" fillId="0" borderId="0"/>
    <xf numFmtId="43" fontId="3" fillId="0" borderId="0" applyFont="0" applyFill="0" applyBorder="0" applyAlignment="0" applyProtection="0"/>
    <xf numFmtId="0" fontId="2" fillId="0" borderId="0"/>
    <xf numFmtId="0" fontId="3" fillId="0" borderId="0"/>
    <xf numFmtId="0" fontId="3" fillId="0" borderId="0"/>
    <xf numFmtId="0" fontId="2" fillId="0" borderId="0"/>
    <xf numFmtId="0" fontId="3" fillId="0" borderId="0"/>
    <xf numFmtId="16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 fillId="0" borderId="0" applyFont="0" applyFill="0" applyBorder="0" applyAlignment="0" applyProtection="0"/>
    <xf numFmtId="0" fontId="2" fillId="0" borderId="0"/>
    <xf numFmtId="0" fontId="1" fillId="0" borderId="0"/>
    <xf numFmtId="0" fontId="3" fillId="0" borderId="0"/>
    <xf numFmtId="43" fontId="3" fillId="0" borderId="0" applyFont="0" applyFill="0" applyBorder="0" applyAlignment="0" applyProtection="0"/>
    <xf numFmtId="0" fontId="5" fillId="0" borderId="0"/>
    <xf numFmtId="0" fontId="5" fillId="0" borderId="0"/>
    <xf numFmtId="0" fontId="5" fillId="0" borderId="0"/>
    <xf numFmtId="43" fontId="1" fillId="0" borderId="0" applyFont="0" applyFill="0" applyBorder="0" applyAlignment="0" applyProtection="0"/>
    <xf numFmtId="9" fontId="1" fillId="0" borderId="0" applyFont="0" applyFill="0" applyBorder="0" applyAlignment="0" applyProtection="0"/>
    <xf numFmtId="3" fontId="3"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2" fontId="3" fillId="0" borderId="0" applyFont="0" applyFill="0" applyBorder="0" applyAlignment="0" applyProtection="0"/>
    <xf numFmtId="0" fontId="3" fillId="0" borderId="0"/>
    <xf numFmtId="0" fontId="1" fillId="0" borderId="0"/>
    <xf numFmtId="0" fontId="1" fillId="0" borderId="0"/>
    <xf numFmtId="0" fontId="2" fillId="0" borderId="0"/>
    <xf numFmtId="43" fontId="2"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23" fillId="0" borderId="0" applyNumberFormat="0" applyFill="0" applyBorder="0" applyAlignment="0" applyProtection="0"/>
    <xf numFmtId="0" fontId="29" fillId="0" borderId="0">
      <alignment vertical="top"/>
    </xf>
    <xf numFmtId="9" fontId="32" fillId="0" borderId="0" applyFont="0" applyFill="0" applyBorder="0" applyAlignment="0" applyProtection="0"/>
    <xf numFmtId="43" fontId="32" fillId="0" borderId="0" applyFont="0" applyFill="0" applyBorder="0" applyAlignment="0" applyProtection="0"/>
  </cellStyleXfs>
  <cellXfs count="219">
    <xf numFmtId="0" fontId="0" fillId="0" borderId="0" xfId="0"/>
    <xf numFmtId="3" fontId="0" fillId="0" borderId="0" xfId="0" applyNumberFormat="1"/>
    <xf numFmtId="0" fontId="0" fillId="0" borderId="0" xfId="0" applyAlignment="1">
      <alignment wrapText="1"/>
    </xf>
    <xf numFmtId="0" fontId="2" fillId="0" borderId="0" xfId="0" applyFont="1"/>
    <xf numFmtId="0" fontId="2" fillId="0" borderId="0" xfId="5" applyFont="1"/>
    <xf numFmtId="0" fontId="2" fillId="0" borderId="0" xfId="5" applyFont="1" applyAlignment="1">
      <alignment wrapText="1"/>
    </xf>
    <xf numFmtId="0" fontId="2" fillId="0" borderId="0" xfId="5" applyBorder="1" applyAlignment="1">
      <alignment horizontal="left" vertical="center"/>
    </xf>
    <xf numFmtId="0" fontId="2" fillId="0" borderId="0" xfId="5" applyAlignment="1">
      <alignment vertical="center"/>
    </xf>
    <xf numFmtId="0" fontId="0" fillId="0" borderId="2" xfId="0" applyBorder="1" applyAlignment="1">
      <alignment wrapText="1"/>
    </xf>
    <xf numFmtId="0" fontId="6" fillId="0" borderId="0" xfId="31" applyFont="1" applyAlignment="1">
      <alignment horizontal="centerContinuous" vertical="center"/>
    </xf>
    <xf numFmtId="0" fontId="6" fillId="0" borderId="0" xfId="31" quotePrefix="1" applyFont="1" applyAlignment="1">
      <alignment horizontal="centerContinuous" vertical="center"/>
    </xf>
    <xf numFmtId="164" fontId="0" fillId="0" borderId="0" xfId="12" applyNumberFormat="1" applyFont="1" applyBorder="1" applyAlignment="1">
      <alignment horizontal="centerContinuous" vertical="center"/>
    </xf>
    <xf numFmtId="0" fontId="6" fillId="0" borderId="0" xfId="31" applyFont="1" applyAlignment="1">
      <alignment vertical="center"/>
    </xf>
    <xf numFmtId="0" fontId="6" fillId="0" borderId="0" xfId="32" applyFont="1" applyAlignment="1">
      <alignment horizontal="centerContinuous" vertical="center"/>
    </xf>
    <xf numFmtId="0" fontId="6" fillId="0" borderId="0" xfId="33" applyFont="1" applyAlignment="1">
      <alignment horizontal="centerContinuous" vertical="center"/>
    </xf>
    <xf numFmtId="0" fontId="5" fillId="0" borderId="0" xfId="31" applyAlignment="1">
      <alignment horizontal="centerContinuous" vertical="center"/>
    </xf>
    <xf numFmtId="0" fontId="5" fillId="0" borderId="0" xfId="31" applyAlignment="1">
      <alignment vertical="center"/>
    </xf>
    <xf numFmtId="0" fontId="7" fillId="0" borderId="9" xfId="2" applyFont="1" applyBorder="1" applyAlignment="1">
      <alignment horizontal="center" wrapText="1"/>
    </xf>
    <xf numFmtId="0" fontId="7" fillId="0" borderId="10" xfId="2" applyFont="1" applyBorder="1" applyAlignment="1">
      <alignment horizontal="center"/>
    </xf>
    <xf numFmtId="0" fontId="7" fillId="0" borderId="11" xfId="2" applyFont="1" applyBorder="1" applyAlignment="1">
      <alignment horizontal="center"/>
    </xf>
    <xf numFmtId="0" fontId="3" fillId="0" borderId="0" xfId="14"/>
    <xf numFmtId="0" fontId="3" fillId="0" borderId="11" xfId="2" applyFont="1" applyBorder="1"/>
    <xf numFmtId="164" fontId="3" fillId="0" borderId="11" xfId="34" applyNumberFormat="1" applyFont="1" applyBorder="1"/>
    <xf numFmtId="166" fontId="3" fillId="0" borderId="7" xfId="35" applyNumberFormat="1" applyFont="1" applyBorder="1"/>
    <xf numFmtId="0" fontId="3" fillId="0" borderId="12" xfId="2" applyFont="1" applyBorder="1"/>
    <xf numFmtId="0" fontId="3" fillId="0" borderId="13" xfId="2" applyFont="1" applyBorder="1"/>
    <xf numFmtId="0" fontId="3" fillId="0" borderId="14" xfId="2" applyFont="1" applyBorder="1"/>
    <xf numFmtId="0" fontId="3" fillId="0" borderId="15" xfId="2" applyFont="1" applyBorder="1"/>
    <xf numFmtId="0" fontId="3" fillId="0" borderId="16" xfId="2" applyFont="1" applyBorder="1"/>
    <xf numFmtId="0" fontId="3" fillId="0" borderId="17" xfId="2" applyFont="1" applyBorder="1"/>
    <xf numFmtId="0" fontId="3" fillId="0" borderId="9" xfId="2" applyFont="1" applyBorder="1"/>
    <xf numFmtId="164" fontId="3" fillId="0" borderId="18" xfId="34" applyNumberFormat="1" applyFont="1" applyBorder="1"/>
    <xf numFmtId="166" fontId="3" fillId="0" borderId="2" xfId="35" applyNumberFormat="1" applyFont="1" applyBorder="1"/>
    <xf numFmtId="0" fontId="3" fillId="0" borderId="0" xfId="2" applyFont="1"/>
    <xf numFmtId="0" fontId="3" fillId="0" borderId="0" xfId="2" applyFont="1" applyBorder="1"/>
    <xf numFmtId="0" fontId="3" fillId="0" borderId="0" xfId="2" applyFont="1" applyFill="1" applyBorder="1"/>
    <xf numFmtId="0" fontId="6" fillId="0" borderId="0" xfId="31" applyFont="1" applyBorder="1" applyAlignment="1">
      <alignment horizontal="centerContinuous" vertical="center"/>
    </xf>
    <xf numFmtId="0" fontId="6" fillId="0" borderId="0" xfId="31" quotePrefix="1" applyFont="1" applyBorder="1" applyAlignment="1">
      <alignment horizontal="centerContinuous" vertical="center"/>
    </xf>
    <xf numFmtId="0" fontId="6" fillId="0" borderId="0" xfId="31" applyFont="1" applyBorder="1" applyAlignment="1">
      <alignment horizontal="centerContinuous" vertical="center" wrapText="1"/>
    </xf>
    <xf numFmtId="0" fontId="6" fillId="0" borderId="0" xfId="31" applyFont="1" applyBorder="1" applyAlignment="1">
      <alignment vertical="center"/>
    </xf>
    <xf numFmtId="0" fontId="6" fillId="0" borderId="0" xfId="32" applyFont="1" applyBorder="1" applyAlignment="1">
      <alignment horizontal="centerContinuous" vertical="center"/>
    </xf>
    <xf numFmtId="0" fontId="6" fillId="0" borderId="0" xfId="33" applyFont="1" applyBorder="1" applyAlignment="1">
      <alignment horizontal="centerContinuous" vertical="center"/>
    </xf>
    <xf numFmtId="0" fontId="5" fillId="0" borderId="0" xfId="31" applyBorder="1" applyAlignment="1">
      <alignment horizontal="centerContinuous" vertical="center"/>
    </xf>
    <xf numFmtId="0" fontId="5" fillId="0" borderId="0" xfId="31" applyBorder="1" applyAlignment="1">
      <alignment horizontal="centerContinuous" vertical="center" wrapText="1"/>
    </xf>
    <xf numFmtId="0" fontId="5" fillId="0" borderId="0" xfId="31" applyBorder="1" applyAlignment="1">
      <alignment vertical="center"/>
    </xf>
    <xf numFmtId="0" fontId="7" fillId="0" borderId="2" xfId="2" applyFont="1" applyBorder="1" applyAlignment="1">
      <alignment horizontal="center" wrapText="1"/>
    </xf>
    <xf numFmtId="0" fontId="7" fillId="0" borderId="2" xfId="2" applyFont="1" applyBorder="1" applyAlignment="1">
      <alignment horizontal="center"/>
    </xf>
    <xf numFmtId="0" fontId="3" fillId="0" borderId="0" xfId="14" applyBorder="1"/>
    <xf numFmtId="0" fontId="3" fillId="0" borderId="21" xfId="2" applyFont="1" applyBorder="1"/>
    <xf numFmtId="164" fontId="3" fillId="0" borderId="7" xfId="34" applyNumberFormat="1" applyFont="1" applyBorder="1"/>
    <xf numFmtId="10" fontId="3" fillId="0" borderId="23" xfId="34" applyNumberFormat="1" applyFont="1" applyBorder="1" applyAlignment="1">
      <alignment wrapText="1"/>
    </xf>
    <xf numFmtId="0" fontId="7" fillId="0" borderId="21" xfId="2" applyFont="1" applyBorder="1"/>
    <xf numFmtId="0" fontId="7" fillId="0" borderId="0" xfId="2" applyFont="1" applyBorder="1"/>
    <xf numFmtId="0" fontId="7" fillId="0" borderId="22" xfId="2" applyFont="1" applyBorder="1"/>
    <xf numFmtId="0" fontId="3" fillId="0" borderId="1" xfId="2" applyFont="1" applyBorder="1"/>
    <xf numFmtId="164" fontId="3" fillId="0" borderId="2" xfId="34" applyNumberFormat="1" applyFont="1" applyBorder="1"/>
    <xf numFmtId="164" fontId="3" fillId="0" borderId="0" xfId="34" applyNumberFormat="1" applyFont="1" applyBorder="1"/>
    <xf numFmtId="166" fontId="3" fillId="0" borderId="0" xfId="35" applyNumberFormat="1" applyFont="1" applyBorder="1" applyAlignment="1">
      <alignment wrapText="1"/>
    </xf>
    <xf numFmtId="0" fontId="9" fillId="0" borderId="0" xfId="45" applyFont="1" applyFill="1" applyBorder="1"/>
    <xf numFmtId="0" fontId="9" fillId="0" borderId="2" xfId="45" applyFont="1" applyFill="1" applyBorder="1"/>
    <xf numFmtId="0" fontId="2" fillId="0" borderId="0" xfId="0" applyFont="1" applyFill="1" applyBorder="1"/>
    <xf numFmtId="164" fontId="9" fillId="0" borderId="2" xfId="6" applyNumberFormat="1" applyFont="1" applyFill="1" applyBorder="1"/>
    <xf numFmtId="170" fontId="9" fillId="0" borderId="2" xfId="45" applyNumberFormat="1" applyFont="1" applyFill="1" applyBorder="1"/>
    <xf numFmtId="9" fontId="9" fillId="0" borderId="2" xfId="45" applyNumberFormat="1" applyFont="1" applyFill="1" applyBorder="1"/>
    <xf numFmtId="10" fontId="9" fillId="0" borderId="2" xfId="26" applyNumberFormat="1" applyFont="1" applyFill="1" applyBorder="1"/>
    <xf numFmtId="164" fontId="9" fillId="0" borderId="2" xfId="6" quotePrefix="1" applyNumberFormat="1" applyFont="1" applyFill="1" applyBorder="1"/>
    <xf numFmtId="9" fontId="2" fillId="0" borderId="0" xfId="26" applyFont="1" applyFill="1" applyBorder="1"/>
    <xf numFmtId="166" fontId="8" fillId="4" borderId="2" xfId="14" applyNumberFormat="1" applyFont="1" applyFill="1" applyBorder="1" applyAlignment="1">
      <alignment horizontal="center" wrapText="1"/>
    </xf>
    <xf numFmtId="9" fontId="9" fillId="0" borderId="2" xfId="26" applyFont="1" applyFill="1" applyBorder="1"/>
    <xf numFmtId="164" fontId="3" fillId="4" borderId="7" xfId="34" applyNumberFormat="1" applyFont="1" applyFill="1" applyBorder="1"/>
    <xf numFmtId="164" fontId="3" fillId="4" borderId="2" xfId="34" applyNumberFormat="1" applyFont="1" applyFill="1" applyBorder="1"/>
    <xf numFmtId="9" fontId="1" fillId="0" borderId="2" xfId="45" applyNumberFormat="1" applyFill="1" applyBorder="1"/>
    <xf numFmtId="166" fontId="8" fillId="0" borderId="7" xfId="0" applyNumberFormat="1" applyFont="1" applyBorder="1" applyAlignment="1">
      <alignment horizontal="center" wrapText="1"/>
    </xf>
    <xf numFmtId="166" fontId="3" fillId="0" borderId="7" xfId="35" quotePrefix="1" applyNumberFormat="1" applyFont="1" applyBorder="1" applyAlignment="1">
      <alignment horizontal="right"/>
    </xf>
    <xf numFmtId="164" fontId="3" fillId="0" borderId="12" xfId="2" applyNumberFormat="1" applyFont="1" applyBorder="1"/>
    <xf numFmtId="0" fontId="3" fillId="0" borderId="24" xfId="2" applyFont="1" applyBorder="1"/>
    <xf numFmtId="166" fontId="8" fillId="0" borderId="2" xfId="0" applyNumberFormat="1" applyFont="1" applyBorder="1" applyAlignment="1">
      <alignment horizontal="center" wrapText="1"/>
    </xf>
    <xf numFmtId="0" fontId="0" fillId="0" borderId="0" xfId="0" applyBorder="1" applyAlignment="1">
      <alignment wrapText="1"/>
    </xf>
    <xf numFmtId="0" fontId="0" fillId="0" borderId="0" xfId="0" applyBorder="1"/>
    <xf numFmtId="164" fontId="9" fillId="0" borderId="2" xfId="45" applyNumberFormat="1" applyFont="1" applyFill="1" applyBorder="1"/>
    <xf numFmtId="167" fontId="0" fillId="0" borderId="2" xfId="45" applyNumberFormat="1" applyFont="1" applyBorder="1"/>
    <xf numFmtId="164" fontId="1" fillId="0" borderId="20" xfId="45" applyNumberFormat="1" applyBorder="1"/>
    <xf numFmtId="164" fontId="1" fillId="0" borderId="0" xfId="45" applyNumberFormat="1" applyBorder="1"/>
    <xf numFmtId="164" fontId="1" fillId="0" borderId="2" xfId="6" applyNumberFormat="1" applyFont="1" applyFill="1" applyBorder="1"/>
    <xf numFmtId="0" fontId="9" fillId="0" borderId="2" xfId="45" applyFont="1" applyFill="1" applyBorder="1" applyAlignment="1">
      <alignment wrapText="1"/>
    </xf>
    <xf numFmtId="0" fontId="11" fillId="0" borderId="2" xfId="45" applyFont="1" applyFill="1" applyBorder="1" applyAlignment="1">
      <alignment horizontal="center"/>
    </xf>
    <xf numFmtId="1" fontId="11" fillId="0" borderId="2" xfId="45" applyNumberFormat="1" applyFont="1" applyFill="1" applyBorder="1" applyAlignment="1">
      <alignment horizontal="center"/>
    </xf>
    <xf numFmtId="0" fontId="11" fillId="0" borderId="2" xfId="45" applyFont="1" applyFill="1" applyBorder="1" applyAlignment="1">
      <alignment wrapText="1"/>
    </xf>
    <xf numFmtId="0" fontId="0" fillId="0" borderId="25" xfId="45" applyNumberFormat="1" applyFont="1" applyBorder="1" applyAlignment="1">
      <alignment wrapText="1"/>
    </xf>
    <xf numFmtId="0" fontId="14" fillId="0" borderId="0" xfId="0" applyFont="1"/>
    <xf numFmtId="0" fontId="14" fillId="0" borderId="0" xfId="0" applyFont="1" applyAlignment="1">
      <alignment wrapText="1"/>
    </xf>
    <xf numFmtId="0" fontId="15" fillId="3" borderId="2" xfId="0" applyFont="1" applyFill="1" applyBorder="1" applyAlignment="1">
      <alignment horizontal="center" wrapText="1"/>
    </xf>
    <xf numFmtId="0" fontId="14" fillId="2" borderId="5" xfId="0" applyFont="1" applyFill="1" applyBorder="1" applyAlignment="1">
      <alignment wrapText="1"/>
    </xf>
    <xf numFmtId="0" fontId="16" fillId="0" borderId="0" xfId="0" applyFont="1"/>
    <xf numFmtId="0" fontId="17" fillId="0" borderId="2" xfId="0" applyFont="1" applyBorder="1" applyAlignment="1">
      <alignment wrapText="1"/>
    </xf>
    <xf numFmtId="3" fontId="17" fillId="0" borderId="2" xfId="1" applyNumberFormat="1" applyFont="1" applyBorder="1" applyAlignment="1">
      <alignment horizontal="right"/>
    </xf>
    <xf numFmtId="3" fontId="17" fillId="0" borderId="2" xfId="1" applyNumberFormat="1" applyFont="1" applyFill="1" applyBorder="1" applyAlignment="1">
      <alignment horizontal="right"/>
    </xf>
    <xf numFmtId="0" fontId="18" fillId="2" borderId="2" xfId="45" applyFont="1" applyFill="1" applyBorder="1" applyAlignment="1" applyProtection="1">
      <alignment horizontal="right" wrapText="1"/>
      <protection locked="0"/>
    </xf>
    <xf numFmtId="0" fontId="19" fillId="2" borderId="2" xfId="45" applyFont="1" applyFill="1" applyBorder="1" applyAlignment="1" applyProtection="1">
      <alignment horizontal="right" wrapText="1"/>
      <protection locked="0"/>
    </xf>
    <xf numFmtId="0" fontId="20" fillId="2" borderId="2" xfId="45" applyFont="1" applyFill="1" applyBorder="1" applyAlignment="1" applyProtection="1">
      <alignment horizontal="right" wrapText="1"/>
      <protection locked="0"/>
    </xf>
    <xf numFmtId="0" fontId="22" fillId="2" borderId="19" xfId="0" applyFont="1" applyFill="1" applyBorder="1" applyAlignment="1">
      <alignment horizontal="right" vertical="center" wrapText="1"/>
    </xf>
    <xf numFmtId="0" fontId="9" fillId="0" borderId="0" xfId="45" applyFont="1" applyFill="1" applyBorder="1" applyAlignment="1">
      <alignment wrapText="1"/>
    </xf>
    <xf numFmtId="0" fontId="20" fillId="0" borderId="2" xfId="45" applyFont="1" applyFill="1" applyBorder="1" applyAlignment="1">
      <alignment wrapText="1"/>
    </xf>
    <xf numFmtId="164" fontId="9" fillId="0" borderId="2" xfId="6" applyNumberFormat="1" applyFont="1" applyFill="1" applyBorder="1" applyAlignment="1">
      <alignment wrapText="1"/>
    </xf>
    <xf numFmtId="3" fontId="1" fillId="0" borderId="2" xfId="6" applyNumberFormat="1" applyFont="1" applyBorder="1"/>
    <xf numFmtId="0" fontId="0" fillId="0" borderId="2" xfId="45" applyFont="1" applyBorder="1" applyAlignment="1">
      <alignment wrapText="1"/>
    </xf>
    <xf numFmtId="9" fontId="1" fillId="0" borderId="2" xfId="26" applyFont="1" applyBorder="1"/>
    <xf numFmtId="9" fontId="1" fillId="0" borderId="2" xfId="26" applyNumberFormat="1" applyFont="1" applyBorder="1"/>
    <xf numFmtId="164" fontId="0" fillId="0" borderId="0" xfId="45" applyNumberFormat="1" applyFont="1" applyBorder="1"/>
    <xf numFmtId="43" fontId="1" fillId="0" borderId="0" xfId="1" applyBorder="1"/>
    <xf numFmtId="0" fontId="23" fillId="0" borderId="0" xfId="48"/>
    <xf numFmtId="0" fontId="9" fillId="0" borderId="2" xfId="6" applyNumberFormat="1" applyFont="1" applyFill="1" applyBorder="1" applyAlignment="1"/>
    <xf numFmtId="0" fontId="9" fillId="0" borderId="2" xfId="6" applyNumberFormat="1" applyFont="1" applyFill="1" applyBorder="1" applyAlignment="1">
      <alignment wrapText="1"/>
    </xf>
    <xf numFmtId="171" fontId="0" fillId="0" borderId="0" xfId="0" applyNumberFormat="1"/>
    <xf numFmtId="1" fontId="9" fillId="0" borderId="2" xfId="45" applyNumberFormat="1" applyFont="1" applyFill="1" applyBorder="1" applyAlignment="1">
      <alignment horizontal="center"/>
    </xf>
    <xf numFmtId="0" fontId="9" fillId="0" borderId="2" xfId="45" applyFont="1" applyFill="1" applyBorder="1" applyAlignment="1">
      <alignment horizontal="center"/>
    </xf>
    <xf numFmtId="0" fontId="25" fillId="0" borderId="0" xfId="48" applyFont="1" applyAlignment="1">
      <alignment horizontal="center"/>
    </xf>
    <xf numFmtId="0" fontId="15" fillId="0" borderId="0" xfId="0" applyFont="1"/>
    <xf numFmtId="0" fontId="4" fillId="0" borderId="0" xfId="0" applyFont="1" applyAlignment="1">
      <alignment horizontal="center" vertical="center"/>
    </xf>
    <xf numFmtId="0" fontId="25" fillId="0" borderId="0" xfId="48" applyFont="1" applyAlignment="1">
      <alignment horizontal="center" vertical="center"/>
    </xf>
    <xf numFmtId="9" fontId="0" fillId="0" borderId="2" xfId="45" applyNumberFormat="1" applyFont="1" applyBorder="1"/>
    <xf numFmtId="0" fontId="0" fillId="0" borderId="0" xfId="0"/>
    <xf numFmtId="171" fontId="2" fillId="0" borderId="0" xfId="26" applyNumberFormat="1" applyFont="1" applyFill="1" applyBorder="1"/>
    <xf numFmtId="171" fontId="9" fillId="0" borderId="0" xfId="45" applyNumberFormat="1" applyFont="1" applyFill="1" applyBorder="1"/>
    <xf numFmtId="172" fontId="1" fillId="0" borderId="0" xfId="45" applyNumberFormat="1" applyBorder="1"/>
    <xf numFmtId="0" fontId="18" fillId="2" borderId="19" xfId="45" applyFont="1" applyFill="1" applyBorder="1" applyAlignment="1" applyProtection="1">
      <alignment horizontal="right" wrapText="1"/>
      <protection locked="0"/>
    </xf>
    <xf numFmtId="0" fontId="10" fillId="2" borderId="25" xfId="45" applyFont="1" applyFill="1" applyBorder="1" applyAlignment="1">
      <alignment horizontal="center"/>
    </xf>
    <xf numFmtId="0" fontId="18" fillId="2" borderId="28" xfId="45" applyFont="1" applyFill="1" applyBorder="1" applyAlignment="1" applyProtection="1">
      <alignment horizontal="right" wrapText="1"/>
      <protection locked="0"/>
    </xf>
    <xf numFmtId="0" fontId="20" fillId="2" borderId="7" xfId="45" applyFont="1" applyFill="1" applyBorder="1" applyAlignment="1" applyProtection="1">
      <alignment horizontal="right" wrapText="1"/>
      <protection locked="0"/>
    </xf>
    <xf numFmtId="164" fontId="1" fillId="0" borderId="7" xfId="6" applyNumberFormat="1" applyFont="1" applyBorder="1"/>
    <xf numFmtId="0" fontId="20" fillId="0" borderId="7" xfId="45" applyFont="1" applyFill="1" applyBorder="1" applyAlignment="1">
      <alignment wrapText="1"/>
    </xf>
    <xf numFmtId="164" fontId="26" fillId="0" borderId="0" xfId="45" applyNumberFormat="1" applyFont="1" applyFill="1" applyBorder="1"/>
    <xf numFmtId="0" fontId="26" fillId="0" borderId="0" xfId="0" applyFont="1" applyFill="1" applyBorder="1" applyAlignment="1"/>
    <xf numFmtId="0" fontId="28" fillId="0" borderId="2" xfId="45" applyFont="1" applyBorder="1" applyAlignment="1">
      <alignment wrapText="1"/>
    </xf>
    <xf numFmtId="0" fontId="15" fillId="0" borderId="0" xfId="0" applyFont="1" applyAlignment="1">
      <alignment wrapText="1"/>
    </xf>
    <xf numFmtId="0" fontId="30" fillId="0" borderId="0" xfId="49" applyFont="1" applyAlignment="1">
      <alignment vertical="top" wrapText="1" readingOrder="1"/>
    </xf>
    <xf numFmtId="0" fontId="29" fillId="0" borderId="0" xfId="49">
      <alignment vertical="top"/>
    </xf>
    <xf numFmtId="0" fontId="31" fillId="0" borderId="0" xfId="49" applyFont="1" applyAlignment="1">
      <alignment vertical="top" wrapText="1" readingOrder="1"/>
    </xf>
    <xf numFmtId="0" fontId="30" fillId="0" borderId="29" xfId="49" applyFont="1" applyBorder="1" applyAlignment="1">
      <alignment vertical="top" wrapText="1" readingOrder="1"/>
    </xf>
    <xf numFmtId="0" fontId="30" fillId="0" borderId="29" xfId="49" applyFont="1" applyBorder="1" applyAlignment="1">
      <alignment horizontal="center" vertical="top" wrapText="1" readingOrder="1"/>
    </xf>
    <xf numFmtId="0" fontId="30" fillId="0" borderId="0" xfId="49" applyFont="1" applyAlignment="1">
      <alignment horizontal="center" vertical="top" wrapText="1" readingOrder="1"/>
    </xf>
    <xf numFmtId="0" fontId="30" fillId="0" borderId="0" xfId="49" applyFont="1" applyAlignment="1">
      <alignment vertical="top"/>
    </xf>
    <xf numFmtId="0" fontId="31" fillId="0" borderId="0" xfId="49" applyFont="1">
      <alignment vertical="top"/>
    </xf>
    <xf numFmtId="0" fontId="31" fillId="0" borderId="0" xfId="49" applyFont="1" applyAlignment="1">
      <alignment horizontal="right" vertical="top"/>
    </xf>
    <xf numFmtId="0" fontId="32" fillId="0" borderId="0" xfId="49" applyFont="1">
      <alignment vertical="top"/>
    </xf>
    <xf numFmtId="37" fontId="32" fillId="0" borderId="0" xfId="49" applyNumberFormat="1" applyFont="1" applyAlignment="1">
      <alignment horizontal="right" vertical="top"/>
    </xf>
    <xf numFmtId="37" fontId="32" fillId="0" borderId="0" xfId="49" applyNumberFormat="1" applyFont="1" applyAlignment="1">
      <alignment vertical="top"/>
    </xf>
    <xf numFmtId="0" fontId="30" fillId="0" borderId="0" xfId="49" applyFont="1" applyAlignment="1">
      <alignment horizontal="right" vertical="top" wrapText="1" readingOrder="1"/>
    </xf>
    <xf numFmtId="37" fontId="30" fillId="0" borderId="30" xfId="49" applyNumberFormat="1" applyFont="1" applyBorder="1" applyAlignment="1">
      <alignment horizontal="right" vertical="top"/>
    </xf>
    <xf numFmtId="0" fontId="30" fillId="0" borderId="0" xfId="49" applyFont="1" applyAlignment="1">
      <alignment horizontal="right" vertical="top"/>
    </xf>
    <xf numFmtId="37" fontId="30" fillId="0" borderId="0" xfId="49" applyNumberFormat="1" applyFont="1" applyAlignment="1">
      <alignment horizontal="right" vertical="top"/>
    </xf>
    <xf numFmtId="37" fontId="30" fillId="0" borderId="0" xfId="49" applyNumberFormat="1" applyFont="1" applyAlignment="1">
      <alignment vertical="top"/>
    </xf>
    <xf numFmtId="0" fontId="28" fillId="0" borderId="0" xfId="49" applyFont="1">
      <alignment vertical="top"/>
    </xf>
    <xf numFmtId="0" fontId="28" fillId="2" borderId="2" xfId="49" applyFont="1" applyFill="1" applyBorder="1" applyAlignment="1">
      <alignment horizontal="left" vertical="top"/>
    </xf>
    <xf numFmtId="0" fontId="28" fillId="2" borderId="2" xfId="49" applyFont="1" applyFill="1" applyBorder="1">
      <alignment vertical="top"/>
    </xf>
    <xf numFmtId="0" fontId="28" fillId="2" borderId="2" xfId="49" applyFont="1" applyFill="1" applyBorder="1" applyAlignment="1">
      <alignment horizontal="center" vertical="top"/>
    </xf>
    <xf numFmtId="0" fontId="28" fillId="2" borderId="2" xfId="49" applyFont="1" applyFill="1" applyBorder="1" applyAlignment="1">
      <alignment horizontal="right" vertical="top"/>
    </xf>
    <xf numFmtId="37" fontId="28" fillId="0" borderId="2" xfId="49" applyNumberFormat="1" applyFont="1" applyBorder="1">
      <alignment vertical="top"/>
    </xf>
    <xf numFmtId="0" fontId="32" fillId="0" borderId="2" xfId="45" applyFont="1" applyBorder="1" applyAlignment="1">
      <alignment wrapText="1"/>
    </xf>
    <xf numFmtId="0" fontId="28" fillId="0" borderId="0" xfId="49" applyFont="1" applyAlignment="1">
      <alignment horizontal="right" vertical="top"/>
    </xf>
    <xf numFmtId="37" fontId="28" fillId="0" borderId="0" xfId="49" applyNumberFormat="1" applyFont="1">
      <alignment vertical="top"/>
    </xf>
    <xf numFmtId="9" fontId="28" fillId="0" borderId="2" xfId="50" applyFont="1" applyBorder="1" applyAlignment="1">
      <alignment vertical="top"/>
    </xf>
    <xf numFmtId="9" fontId="28" fillId="0" borderId="2" xfId="50" applyFont="1" applyBorder="1" applyAlignment="1">
      <alignment vertical="top" wrapText="1"/>
    </xf>
    <xf numFmtId="164" fontId="28" fillId="0" borderId="2" xfId="51" applyNumberFormat="1" applyFont="1" applyBorder="1" applyAlignment="1">
      <alignment vertical="top"/>
    </xf>
    <xf numFmtId="0" fontId="26" fillId="0" borderId="0" xfId="49" applyFont="1" applyFill="1" applyBorder="1" applyAlignment="1"/>
    <xf numFmtId="0" fontId="28" fillId="0" borderId="0" xfId="0" applyFont="1" applyAlignment="1">
      <alignment vertical="top"/>
    </xf>
    <xf numFmtId="0" fontId="28" fillId="0" borderId="0" xfId="0" applyFont="1" applyAlignment="1">
      <alignment vertical="top" wrapText="1"/>
    </xf>
    <xf numFmtId="0" fontId="28" fillId="2" borderId="2" xfId="0" applyFont="1" applyFill="1" applyBorder="1" applyAlignment="1">
      <alignment horizontal="center" vertical="top"/>
    </xf>
    <xf numFmtId="0" fontId="28" fillId="2" borderId="2" xfId="0" applyFont="1" applyFill="1" applyBorder="1" applyAlignment="1">
      <alignment horizontal="center" vertical="top" wrapText="1"/>
    </xf>
    <xf numFmtId="0" fontId="28" fillId="0" borderId="2" xfId="0" applyFont="1" applyBorder="1" applyAlignment="1">
      <alignment vertical="top" wrapText="1"/>
    </xf>
    <xf numFmtId="43" fontId="26" fillId="0" borderId="0" xfId="51" applyFont="1" applyFill="1" applyBorder="1"/>
    <xf numFmtId="0" fontId="26" fillId="0" borderId="0" xfId="45" applyFont="1" applyFill="1" applyBorder="1"/>
    <xf numFmtId="0" fontId="35" fillId="0" borderId="0" xfId="5" applyFont="1" applyFill="1" applyBorder="1"/>
    <xf numFmtId="0" fontId="28" fillId="0" borderId="2" xfId="0" applyFont="1" applyBorder="1" applyAlignment="1">
      <alignment vertical="top"/>
    </xf>
    <xf numFmtId="164" fontId="28" fillId="0" borderId="7" xfId="51" applyNumberFormat="1" applyFont="1" applyBorder="1" applyAlignment="1">
      <alignment vertical="top"/>
    </xf>
    <xf numFmtId="0" fontId="10" fillId="2" borderId="2" xfId="45" applyFont="1" applyFill="1" applyBorder="1" applyAlignment="1">
      <alignment horizontal="left" wrapText="1"/>
    </xf>
    <xf numFmtId="0" fontId="30" fillId="5" borderId="0" xfId="49" applyFont="1" applyFill="1" applyAlignment="1">
      <alignment vertical="top"/>
    </xf>
    <xf numFmtId="164" fontId="0" fillId="0" borderId="0" xfId="0" applyNumberFormat="1"/>
    <xf numFmtId="173" fontId="0" fillId="0" borderId="0" xfId="0" applyNumberFormat="1"/>
    <xf numFmtId="0" fontId="22" fillId="2" borderId="19" xfId="0" applyFont="1" applyFill="1" applyBorder="1" applyAlignment="1">
      <alignment horizontal="right" wrapText="1"/>
    </xf>
    <xf numFmtId="0" fontId="28" fillId="0" borderId="7" xfId="0" applyFont="1" applyBorder="1" applyAlignment="1">
      <alignment vertical="top" wrapText="1"/>
    </xf>
    <xf numFmtId="9" fontId="28" fillId="0" borderId="7" xfId="50" applyFont="1" applyBorder="1" applyAlignment="1">
      <alignment vertical="top" wrapText="1"/>
    </xf>
    <xf numFmtId="0" fontId="33" fillId="0" borderId="19" xfId="0" applyFont="1" applyBorder="1" applyAlignment="1">
      <alignment vertical="top" wrapText="1"/>
    </xf>
    <xf numFmtId="164" fontId="33" fillId="0" borderId="20" xfId="51" applyNumberFormat="1" applyFont="1" applyBorder="1" applyAlignment="1">
      <alignment vertical="top" wrapText="1"/>
    </xf>
    <xf numFmtId="0" fontId="33" fillId="0" borderId="25" xfId="0" applyFont="1" applyBorder="1" applyAlignment="1">
      <alignment vertical="top" wrapText="1"/>
    </xf>
    <xf numFmtId="0" fontId="28" fillId="0" borderId="7" xfId="45" applyFont="1" applyBorder="1" applyAlignment="1">
      <alignment wrapText="1"/>
    </xf>
    <xf numFmtId="0" fontId="28" fillId="0" borderId="2" xfId="45" applyFont="1" applyBorder="1" applyAlignment="1">
      <alignment vertical="top" wrapText="1"/>
    </xf>
    <xf numFmtId="0" fontId="28" fillId="0" borderId="7" xfId="0" applyFont="1" applyBorder="1" applyAlignment="1">
      <alignment vertical="top"/>
    </xf>
    <xf numFmtId="164" fontId="33" fillId="0" borderId="25" xfId="51" applyNumberFormat="1" applyFont="1" applyBorder="1" applyAlignment="1">
      <alignment vertical="top"/>
    </xf>
    <xf numFmtId="0" fontId="10" fillId="0" borderId="2" xfId="45" applyFont="1" applyFill="1" applyBorder="1" applyAlignment="1">
      <alignment horizontal="left" wrapText="1"/>
    </xf>
    <xf numFmtId="0" fontId="18" fillId="2" borderId="2" xfId="45" applyFont="1" applyFill="1" applyBorder="1" applyAlignment="1" applyProtection="1">
      <alignment horizontal="left" vertical="top" wrapText="1"/>
      <protection locked="0"/>
    </xf>
    <xf numFmtId="0" fontId="28" fillId="2" borderId="7" xfId="49" applyFont="1" applyFill="1" applyBorder="1" applyAlignment="1">
      <alignment horizontal="left" vertical="top"/>
    </xf>
    <xf numFmtId="0" fontId="28" fillId="2" borderId="7" xfId="49" applyFont="1" applyFill="1" applyBorder="1">
      <alignment vertical="top"/>
    </xf>
    <xf numFmtId="0" fontId="33" fillId="2" borderId="19" xfId="49" applyFont="1" applyFill="1" applyBorder="1" applyAlignment="1">
      <alignment horizontal="right" vertical="top" wrapText="1"/>
    </xf>
    <xf numFmtId="164" fontId="33" fillId="0" borderId="20" xfId="51" applyNumberFormat="1" applyFont="1" applyBorder="1" applyAlignment="1">
      <alignment vertical="top"/>
    </xf>
    <xf numFmtId="164" fontId="33" fillId="0" borderId="25" xfId="51" applyNumberFormat="1" applyFont="1" applyBorder="1" applyAlignment="1">
      <alignment vertical="top" wrapText="1"/>
    </xf>
    <xf numFmtId="0" fontId="15" fillId="3" borderId="2" xfId="0" applyFont="1" applyFill="1" applyBorder="1" applyAlignment="1">
      <alignment horizontal="center"/>
    </xf>
    <xf numFmtId="0" fontId="15" fillId="3" borderId="7" xfId="0" applyFont="1" applyFill="1" applyBorder="1" applyAlignment="1">
      <alignment horizontal="center" wrapText="1"/>
    </xf>
    <xf numFmtId="0" fontId="15" fillId="3" borderId="23" xfId="0" applyFont="1" applyFill="1" applyBorder="1" applyAlignment="1">
      <alignment horizontal="center" wrapText="1"/>
    </xf>
    <xf numFmtId="0" fontId="10" fillId="2" borderId="3" xfId="45" applyFont="1" applyFill="1" applyBorder="1" applyAlignment="1">
      <alignment horizontal="center"/>
    </xf>
    <xf numFmtId="0" fontId="10" fillId="2" borderId="8" xfId="45" applyFont="1" applyFill="1" applyBorder="1" applyAlignment="1">
      <alignment horizontal="center"/>
    </xf>
    <xf numFmtId="0" fontId="10" fillId="2" borderId="4" xfId="45" applyFont="1" applyFill="1" applyBorder="1" applyAlignment="1">
      <alignment horizontal="center"/>
    </xf>
    <xf numFmtId="0" fontId="13" fillId="2" borderId="3" xfId="0" applyFont="1" applyFill="1" applyBorder="1" applyAlignment="1">
      <alignment horizontal="center" wrapText="1"/>
    </xf>
    <xf numFmtId="0" fontId="13" fillId="2" borderId="4" xfId="0" applyFont="1" applyFill="1" applyBorder="1" applyAlignment="1">
      <alignment horizontal="center" wrapText="1"/>
    </xf>
    <xf numFmtId="164" fontId="0" fillId="2" borderId="3" xfId="45" applyNumberFormat="1" applyFont="1" applyFill="1" applyBorder="1" applyAlignment="1">
      <alignment horizontal="right" wrapText="1"/>
    </xf>
    <xf numFmtId="0" fontId="0" fillId="0" borderId="8" xfId="0" applyBorder="1" applyAlignment="1">
      <alignment wrapText="1"/>
    </xf>
    <xf numFmtId="0" fontId="0" fillId="0" borderId="4" xfId="0" applyBorder="1" applyAlignment="1">
      <alignment wrapText="1"/>
    </xf>
    <xf numFmtId="0" fontId="9" fillId="0" borderId="7" xfId="6" applyNumberFormat="1" applyFont="1" applyFill="1" applyBorder="1" applyAlignment="1">
      <alignment horizontal="left" vertical="top" wrapText="1"/>
    </xf>
    <xf numFmtId="0" fontId="9" fillId="0" borderId="6" xfId="6" applyNumberFormat="1" applyFont="1" applyFill="1" applyBorder="1" applyAlignment="1">
      <alignment horizontal="left" vertical="top" wrapText="1"/>
    </xf>
    <xf numFmtId="0" fontId="9" fillId="0" borderId="23" xfId="6" applyNumberFormat="1" applyFont="1" applyFill="1" applyBorder="1" applyAlignment="1">
      <alignment horizontal="left" vertical="top" wrapText="1"/>
    </xf>
    <xf numFmtId="0" fontId="9" fillId="0" borderId="26" xfId="45" applyFont="1" applyFill="1" applyBorder="1" applyAlignment="1">
      <alignment horizontal="left" wrapText="1"/>
    </xf>
    <xf numFmtId="0" fontId="9" fillId="0" borderId="27" xfId="45" applyFont="1" applyFill="1" applyBorder="1" applyAlignment="1">
      <alignment horizontal="left" wrapText="1"/>
    </xf>
    <xf numFmtId="0" fontId="33" fillId="2" borderId="3" xfId="0" applyFont="1" applyFill="1" applyBorder="1" applyAlignment="1">
      <alignment horizontal="left" vertical="top"/>
    </xf>
    <xf numFmtId="0" fontId="33" fillId="2" borderId="8" xfId="0" applyFont="1" applyFill="1" applyBorder="1" applyAlignment="1">
      <alignment horizontal="left" vertical="top"/>
    </xf>
    <xf numFmtId="0" fontId="33" fillId="2" borderId="4" xfId="0" applyFont="1" applyFill="1" applyBorder="1" applyAlignment="1">
      <alignment horizontal="left" vertical="top"/>
    </xf>
    <xf numFmtId="0" fontId="34" fillId="2" borderId="2" xfId="0" applyFont="1" applyFill="1" applyBorder="1" applyAlignment="1">
      <alignment horizontal="center" vertical="top"/>
    </xf>
    <xf numFmtId="0" fontId="20" fillId="2" borderId="2" xfId="45" applyFont="1" applyFill="1" applyBorder="1" applyAlignment="1" applyProtection="1">
      <alignment horizontal="left"/>
      <protection locked="0"/>
    </xf>
    <xf numFmtId="0" fontId="33" fillId="2" borderId="2" xfId="49" applyFont="1" applyFill="1" applyBorder="1" applyAlignment="1">
      <alignment horizontal="left" vertical="top"/>
    </xf>
    <xf numFmtId="0" fontId="34" fillId="2" borderId="2" xfId="49" applyFont="1" applyFill="1" applyBorder="1" applyAlignment="1">
      <alignment horizontal="center" vertical="top"/>
    </xf>
  </cellXfs>
  <cellStyles count="52">
    <cellStyle name="Comma" xfId="1" builtinId="3"/>
    <cellStyle name="Comma 10" xfId="12"/>
    <cellStyle name="Comma 100" xfId="6"/>
    <cellStyle name="Comma 2" xfId="3"/>
    <cellStyle name="Comma 2 10" xfId="30"/>
    <cellStyle name="Comma 2 2" xfId="34"/>
    <cellStyle name="Comma 3" xfId="4"/>
    <cellStyle name="Comma 3 13" xfId="44"/>
    <cellStyle name="Comma 4" xfId="51"/>
    <cellStyle name="Comma 91" xfId="8"/>
    <cellStyle name="Comma0" xfId="36"/>
    <cellStyle name="Currency0" xfId="37"/>
    <cellStyle name="Date" xfId="38"/>
    <cellStyle name="Fixed" xfId="39"/>
    <cellStyle name="Hyperlink" xfId="48" builtinId="8"/>
    <cellStyle name="Normal" xfId="0" builtinId="0"/>
    <cellStyle name="Normal 10" xfId="28"/>
    <cellStyle name="Normal 103 2" xfId="14"/>
    <cellStyle name="Normal 105 2" xfId="15"/>
    <cellStyle name="Normal 110 3" xfId="10"/>
    <cellStyle name="Normal 111 3" xfId="17"/>
    <cellStyle name="Normal 112 3" xfId="9"/>
    <cellStyle name="Normal 124" xfId="13"/>
    <cellStyle name="Normal 140" xfId="11"/>
    <cellStyle name="Normal 142" xfId="16"/>
    <cellStyle name="Normal 143 2" xfId="45"/>
    <cellStyle name="Normal 145" xfId="46"/>
    <cellStyle name="Normal 2" xfId="2"/>
    <cellStyle name="Normal 2 10" xfId="29"/>
    <cellStyle name="Normal 2 2" xfId="5"/>
    <cellStyle name="Normal 2 2 13" xfId="43"/>
    <cellStyle name="Normal 2 2 32" xfId="7"/>
    <cellStyle name="Normal 22" xfId="20"/>
    <cellStyle name="Normal 26" xfId="21"/>
    <cellStyle name="Normal 3" xfId="27"/>
    <cellStyle name="Normal 33" xfId="19"/>
    <cellStyle name="Normal 34" xfId="22"/>
    <cellStyle name="Normal 35" xfId="23"/>
    <cellStyle name="Normal 36" xfId="24"/>
    <cellStyle name="Normal 37" xfId="25"/>
    <cellStyle name="Normal 4" xfId="18"/>
    <cellStyle name="Normal 5" xfId="40"/>
    <cellStyle name="Normal 6" xfId="49"/>
    <cellStyle name="Normal 7" xfId="41"/>
    <cellStyle name="Normal 8" xfId="42"/>
    <cellStyle name="Normal_AppendixF1" xfId="33"/>
    <cellStyle name="Normal_CED 2002 consumption" xfId="32"/>
    <cellStyle name="Normal_Form 1.4NetPeak" xfId="31"/>
    <cellStyle name="Percent" xfId="26" builtinId="5"/>
    <cellStyle name="Percent 2" xfId="35"/>
    <cellStyle name="Percent 3" xfId="47"/>
    <cellStyle name="Percent 4"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4.xml"/><Relationship Id="rId6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74" Type="http://schemas.openxmlformats.org/officeDocument/2006/relationships/customXml" Target="../customXml/item6.xml"/><Relationship Id="rId5" Type="http://schemas.openxmlformats.org/officeDocument/2006/relationships/worksheet" Target="worksheets/sheet5.xml"/><Relationship Id="rId61" Type="http://schemas.openxmlformats.org/officeDocument/2006/relationships/externalLink" Target="externalLinks/externalLink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5.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3.xml"/><Relationship Id="rId7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1.xml"/><Relationship Id="rId65" Type="http://schemas.openxmlformats.org/officeDocument/2006/relationships/theme" Target="theme/theme1.xml"/><Relationship Id="rId73"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EC09%20demand-price%20forms-final-12-17.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04-10-25_DEMAND_FORMS.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V1_+2015+Liberty+Utilities_Workbook+1+EPE+Importers+and+Exporters.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PPCWorkbook_1_EPE_Importers_and_Exporters_v3_201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evisedEnergyandPeakforecastbyL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FormList&amp;FilerInfo"/>
      <sheetName val="Form 1.1"/>
      <sheetName val="Form 1.2"/>
      <sheetName val="Form 1.3"/>
      <sheetName val="Form 1.4"/>
      <sheetName val="Form 1.5"/>
      <sheetName val="Form 1.6a"/>
      <sheetName val="Form 1.6b"/>
      <sheetName val="Form 1.7a &amp; b"/>
      <sheetName val="Form 1.7c"/>
      <sheetName val="Form 2.1"/>
      <sheetName val="Form 2.2"/>
      <sheetName val="Form 2.3"/>
      <sheetName val="Form 2.4"/>
      <sheetName val="Form 3.1a"/>
      <sheetName val="Form 3.1b"/>
      <sheetName val="Form 3.2"/>
      <sheetName val="Form 3.3"/>
      <sheetName val="Form 3.4"/>
      <sheetName val="Form 7"/>
      <sheetName val="Form 8.1a (IOU)"/>
      <sheetName val="Form 8.1a (POU)"/>
      <sheetName val="Form 8.1a (ESP)"/>
      <sheetName val="Form 8.1b (bundled)"/>
      <sheetName val="Form 8.1b (direct access)"/>
      <sheetName val="Form 8.2"/>
    </sheetNames>
    <sheetDataSet>
      <sheetData sheetId="0"/>
      <sheetData sheetId="1">
        <row r="2">
          <cell r="B2" t="str">
            <v>Participant Name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FormList&amp;FilerInfo"/>
      <sheetName val="Form1.1"/>
      <sheetName val="Form1.2"/>
      <sheetName val="Form1.3"/>
      <sheetName val="Form1.4"/>
      <sheetName val="Form1.5"/>
      <sheetName val="Form1.6"/>
      <sheetName val="Form1.7"/>
      <sheetName val="Form2.1"/>
      <sheetName val="Form2.2"/>
      <sheetName val="Form2.3"/>
      <sheetName val="Form2.4"/>
      <sheetName val="Form3.1a"/>
      <sheetName val="Form3.1b"/>
      <sheetName val="Form3.2"/>
      <sheetName val="Form3.3"/>
      <sheetName val="Form3.4"/>
    </sheetNames>
    <sheetDataSet>
      <sheetData sheetId="0"/>
      <sheetData sheetId="1">
        <row r="3">
          <cell r="C3" t="str">
            <v>Participant Name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Version"/>
      <sheetName val="Guidance "/>
      <sheetName val="Data Export XML"/>
      <sheetName val="Reporter Info"/>
      <sheetName val="COVERED EM CALC"/>
      <sheetName val="Retail Provider"/>
      <sheetName val="CAISO Sales"/>
      <sheetName val="Unspec Imports"/>
      <sheetName val="Spec Imports"/>
      <sheetName val="RPS Adjust"/>
      <sheetName val="REC Serial"/>
      <sheetName val="QE Adjust"/>
      <sheetName val="Unspec Exports"/>
      <sheetName val="Spec Exports"/>
      <sheetName val="Wheeled"/>
      <sheetName val="POR.POD"/>
      <sheetName val="EF List"/>
      <sheetName val="Other 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6">
          <cell r="C6" t="str">
            <v/>
          </cell>
        </row>
        <row r="7">
          <cell r="C7" t="str">
            <v/>
          </cell>
        </row>
        <row r="8">
          <cell r="C8" t="str">
            <v/>
          </cell>
        </row>
        <row r="9">
          <cell r="C9" t="str">
            <v/>
          </cell>
        </row>
        <row r="10">
          <cell r="C10" t="str">
            <v/>
          </cell>
        </row>
        <row r="11">
          <cell r="C11" t="str">
            <v/>
          </cell>
        </row>
        <row r="12">
          <cell r="C12" t="str">
            <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row r="27">
          <cell r="C27" t="str">
            <v/>
          </cell>
        </row>
        <row r="28">
          <cell r="C28" t="str">
            <v/>
          </cell>
        </row>
        <row r="29">
          <cell r="C29" t="str">
            <v/>
          </cell>
        </row>
        <row r="30">
          <cell r="C30" t="str">
            <v/>
          </cell>
        </row>
        <row r="31">
          <cell r="C31" t="str">
            <v/>
          </cell>
        </row>
        <row r="32">
          <cell r="C32" t="str">
            <v/>
          </cell>
        </row>
        <row r="33">
          <cell r="C33" t="str">
            <v/>
          </cell>
        </row>
        <row r="34">
          <cell r="C34" t="str">
            <v/>
          </cell>
        </row>
        <row r="35">
          <cell r="C35" t="str">
            <v/>
          </cell>
        </row>
        <row r="36">
          <cell r="C36" t="str">
            <v/>
          </cell>
        </row>
        <row r="37">
          <cell r="C37" t="str">
            <v/>
          </cell>
        </row>
        <row r="38">
          <cell r="C38" t="str">
            <v/>
          </cell>
        </row>
        <row r="39">
          <cell r="C39" t="str">
            <v/>
          </cell>
        </row>
        <row r="40">
          <cell r="C40" t="str">
            <v/>
          </cell>
        </row>
        <row r="41">
          <cell r="C41" t="str">
            <v/>
          </cell>
        </row>
        <row r="42">
          <cell r="C42" t="str">
            <v/>
          </cell>
        </row>
        <row r="43">
          <cell r="C43" t="str">
            <v/>
          </cell>
        </row>
        <row r="44">
          <cell r="C44" t="str">
            <v/>
          </cell>
        </row>
        <row r="45">
          <cell r="C45" t="str">
            <v/>
          </cell>
        </row>
        <row r="46">
          <cell r="C46" t="str">
            <v/>
          </cell>
        </row>
        <row r="47">
          <cell r="C47" t="str">
            <v/>
          </cell>
        </row>
        <row r="48">
          <cell r="C48" t="str">
            <v/>
          </cell>
        </row>
        <row r="49">
          <cell r="C49" t="str">
            <v/>
          </cell>
        </row>
        <row r="50">
          <cell r="C50" t="str">
            <v/>
          </cell>
        </row>
        <row r="51">
          <cell r="C51" t="str">
            <v/>
          </cell>
        </row>
        <row r="52">
          <cell r="C52" t="str">
            <v/>
          </cell>
        </row>
        <row r="53">
          <cell r="C53" t="str">
            <v/>
          </cell>
        </row>
        <row r="54">
          <cell r="C54" t="str">
            <v/>
          </cell>
        </row>
        <row r="55">
          <cell r="C55" t="str">
            <v/>
          </cell>
        </row>
        <row r="56">
          <cell r="C56" t="str">
            <v/>
          </cell>
        </row>
        <row r="57">
          <cell r="C57" t="str">
            <v/>
          </cell>
        </row>
        <row r="58">
          <cell r="C58" t="str">
            <v/>
          </cell>
        </row>
        <row r="59">
          <cell r="C59" t="str">
            <v/>
          </cell>
        </row>
        <row r="60">
          <cell r="C60" t="str">
            <v/>
          </cell>
        </row>
        <row r="61">
          <cell r="C61" t="str">
            <v/>
          </cell>
        </row>
        <row r="62">
          <cell r="C62" t="str">
            <v/>
          </cell>
        </row>
        <row r="63">
          <cell r="C63" t="str">
            <v/>
          </cell>
        </row>
        <row r="64">
          <cell r="C64" t="str">
            <v/>
          </cell>
        </row>
        <row r="65">
          <cell r="C65" t="str">
            <v/>
          </cell>
        </row>
        <row r="66">
          <cell r="C66" t="str">
            <v/>
          </cell>
        </row>
        <row r="67">
          <cell r="C67" t="str">
            <v/>
          </cell>
        </row>
        <row r="68">
          <cell r="C68" t="str">
            <v/>
          </cell>
        </row>
        <row r="69">
          <cell r="C69" t="str">
            <v/>
          </cell>
        </row>
        <row r="70">
          <cell r="C70" t="str">
            <v/>
          </cell>
        </row>
        <row r="71">
          <cell r="C71" t="str">
            <v/>
          </cell>
        </row>
        <row r="72">
          <cell r="C72" t="str">
            <v/>
          </cell>
        </row>
        <row r="73">
          <cell r="C73" t="str">
            <v/>
          </cell>
        </row>
        <row r="74">
          <cell r="C74" t="str">
            <v/>
          </cell>
        </row>
        <row r="75">
          <cell r="C75" t="str">
            <v/>
          </cell>
        </row>
        <row r="76">
          <cell r="C76" t="str">
            <v/>
          </cell>
        </row>
        <row r="77">
          <cell r="C77" t="str">
            <v/>
          </cell>
        </row>
        <row r="78">
          <cell r="C78" t="str">
            <v/>
          </cell>
        </row>
        <row r="79">
          <cell r="C79" t="str">
            <v/>
          </cell>
        </row>
        <row r="80">
          <cell r="C80" t="str">
            <v/>
          </cell>
        </row>
        <row r="81">
          <cell r="C81" t="str">
            <v/>
          </cell>
        </row>
        <row r="82">
          <cell r="C82" t="str">
            <v/>
          </cell>
        </row>
        <row r="83">
          <cell r="C83" t="str">
            <v/>
          </cell>
        </row>
        <row r="84">
          <cell r="C84" t="str">
            <v/>
          </cell>
        </row>
        <row r="85">
          <cell r="C85" t="str">
            <v/>
          </cell>
        </row>
        <row r="86">
          <cell r="C86" t="str">
            <v/>
          </cell>
        </row>
        <row r="87">
          <cell r="C87" t="str">
            <v/>
          </cell>
        </row>
        <row r="88">
          <cell r="C88" t="str">
            <v/>
          </cell>
        </row>
        <row r="89">
          <cell r="C89" t="str">
            <v/>
          </cell>
        </row>
        <row r="90">
          <cell r="C90" t="str">
            <v/>
          </cell>
        </row>
        <row r="91">
          <cell r="C91" t="str">
            <v/>
          </cell>
        </row>
        <row r="92">
          <cell r="C92" t="str">
            <v/>
          </cell>
        </row>
        <row r="93">
          <cell r="C93" t="str">
            <v/>
          </cell>
        </row>
        <row r="94">
          <cell r="C94" t="str">
            <v/>
          </cell>
        </row>
        <row r="95">
          <cell r="C95" t="str">
            <v/>
          </cell>
        </row>
        <row r="96">
          <cell r="C96" t="str">
            <v/>
          </cell>
        </row>
        <row r="97">
          <cell r="C97" t="str">
            <v/>
          </cell>
        </row>
        <row r="98">
          <cell r="C98" t="str">
            <v/>
          </cell>
        </row>
        <row r="99">
          <cell r="C99" t="str">
            <v/>
          </cell>
        </row>
        <row r="100">
          <cell r="C100" t="str">
            <v/>
          </cell>
        </row>
        <row r="101">
          <cell r="C101" t="str">
            <v/>
          </cell>
        </row>
        <row r="102">
          <cell r="C102" t="str">
            <v/>
          </cell>
        </row>
        <row r="103">
          <cell r="C103" t="str">
            <v/>
          </cell>
        </row>
        <row r="104">
          <cell r="C104" t="str">
            <v/>
          </cell>
        </row>
        <row r="105">
          <cell r="C105" t="str">
            <v/>
          </cell>
        </row>
        <row r="106">
          <cell r="C106" t="str">
            <v/>
          </cell>
        </row>
        <row r="107">
          <cell r="C107" t="str">
            <v/>
          </cell>
        </row>
        <row r="108">
          <cell r="C108" t="str">
            <v/>
          </cell>
        </row>
        <row r="109">
          <cell r="C109" t="str">
            <v/>
          </cell>
        </row>
        <row r="110">
          <cell r="C110" t="str">
            <v/>
          </cell>
        </row>
        <row r="111">
          <cell r="C111" t="str">
            <v/>
          </cell>
        </row>
        <row r="112">
          <cell r="C112" t="str">
            <v/>
          </cell>
        </row>
        <row r="113">
          <cell r="C113" t="str">
            <v/>
          </cell>
        </row>
        <row r="114">
          <cell r="C114" t="str">
            <v/>
          </cell>
        </row>
        <row r="115">
          <cell r="C115" t="str">
            <v/>
          </cell>
        </row>
        <row r="116">
          <cell r="C116" t="str">
            <v/>
          </cell>
        </row>
        <row r="117">
          <cell r="C117" t="str">
            <v/>
          </cell>
        </row>
        <row r="118">
          <cell r="C118" t="str">
            <v/>
          </cell>
        </row>
        <row r="119">
          <cell r="C119" t="str">
            <v/>
          </cell>
        </row>
        <row r="120">
          <cell r="C120" t="str">
            <v/>
          </cell>
        </row>
        <row r="121">
          <cell r="C121" t="str">
            <v/>
          </cell>
        </row>
        <row r="122">
          <cell r="C122" t="str">
            <v/>
          </cell>
        </row>
        <row r="123">
          <cell r="C123" t="str">
            <v/>
          </cell>
        </row>
        <row r="124">
          <cell r="C124" t="str">
            <v/>
          </cell>
        </row>
        <row r="125">
          <cell r="C125" t="str">
            <v/>
          </cell>
        </row>
        <row r="126">
          <cell r="C126" t="str">
            <v/>
          </cell>
        </row>
        <row r="127">
          <cell r="C127" t="str">
            <v/>
          </cell>
        </row>
        <row r="128">
          <cell r="C128" t="str">
            <v/>
          </cell>
        </row>
        <row r="129">
          <cell r="C129" t="str">
            <v/>
          </cell>
        </row>
        <row r="130">
          <cell r="C130" t="str">
            <v/>
          </cell>
        </row>
        <row r="131">
          <cell r="C131" t="str">
            <v/>
          </cell>
        </row>
        <row r="132">
          <cell r="C132" t="str">
            <v/>
          </cell>
        </row>
        <row r="133">
          <cell r="C133" t="str">
            <v/>
          </cell>
        </row>
        <row r="134">
          <cell r="C134" t="str">
            <v/>
          </cell>
        </row>
        <row r="135">
          <cell r="C135" t="str">
            <v/>
          </cell>
        </row>
        <row r="136">
          <cell r="C136" t="str">
            <v/>
          </cell>
        </row>
        <row r="137">
          <cell r="C137" t="str">
            <v/>
          </cell>
        </row>
        <row r="138">
          <cell r="C138" t="str">
            <v/>
          </cell>
        </row>
        <row r="139">
          <cell r="C139" t="str">
            <v/>
          </cell>
        </row>
        <row r="140">
          <cell r="C140" t="str">
            <v/>
          </cell>
        </row>
        <row r="141">
          <cell r="C141" t="str">
            <v/>
          </cell>
        </row>
        <row r="142">
          <cell r="C142" t="str">
            <v/>
          </cell>
        </row>
        <row r="143">
          <cell r="C143" t="str">
            <v/>
          </cell>
        </row>
        <row r="144">
          <cell r="C144" t="str">
            <v/>
          </cell>
        </row>
        <row r="145">
          <cell r="C145" t="str">
            <v/>
          </cell>
        </row>
        <row r="146">
          <cell r="C146" t="str">
            <v/>
          </cell>
        </row>
        <row r="147">
          <cell r="C147" t="str">
            <v/>
          </cell>
        </row>
        <row r="148">
          <cell r="C148" t="str">
            <v/>
          </cell>
        </row>
        <row r="149">
          <cell r="C149" t="str">
            <v/>
          </cell>
        </row>
        <row r="150">
          <cell r="C150" t="str">
            <v/>
          </cell>
        </row>
        <row r="151">
          <cell r="C151" t="str">
            <v/>
          </cell>
        </row>
        <row r="152">
          <cell r="C152" t="str">
            <v/>
          </cell>
        </row>
        <row r="153">
          <cell r="C153" t="str">
            <v/>
          </cell>
        </row>
        <row r="154">
          <cell r="C154" t="str">
            <v/>
          </cell>
        </row>
        <row r="155">
          <cell r="C155" t="str">
            <v/>
          </cell>
        </row>
        <row r="156">
          <cell r="C156" t="str">
            <v/>
          </cell>
        </row>
        <row r="157">
          <cell r="C157" t="str">
            <v/>
          </cell>
        </row>
        <row r="158">
          <cell r="C158" t="str">
            <v/>
          </cell>
        </row>
        <row r="159">
          <cell r="C159" t="str">
            <v/>
          </cell>
        </row>
        <row r="160">
          <cell r="C160" t="str">
            <v/>
          </cell>
        </row>
        <row r="161">
          <cell r="C161" t="str">
            <v/>
          </cell>
        </row>
        <row r="162">
          <cell r="C162" t="str">
            <v/>
          </cell>
        </row>
        <row r="163">
          <cell r="C163" t="str">
            <v/>
          </cell>
        </row>
        <row r="164">
          <cell r="C164" t="str">
            <v/>
          </cell>
        </row>
        <row r="165">
          <cell r="C165" t="str">
            <v/>
          </cell>
        </row>
        <row r="166">
          <cell r="C166" t="str">
            <v/>
          </cell>
        </row>
        <row r="167">
          <cell r="C167" t="str">
            <v/>
          </cell>
        </row>
        <row r="168">
          <cell r="C168" t="str">
            <v/>
          </cell>
        </row>
        <row r="169">
          <cell r="C169" t="str">
            <v/>
          </cell>
        </row>
        <row r="170">
          <cell r="C170" t="str">
            <v/>
          </cell>
        </row>
        <row r="171">
          <cell r="C171" t="str">
            <v/>
          </cell>
        </row>
        <row r="172">
          <cell r="C172" t="str">
            <v/>
          </cell>
        </row>
        <row r="173">
          <cell r="C173" t="str">
            <v/>
          </cell>
        </row>
        <row r="174">
          <cell r="C174" t="str">
            <v/>
          </cell>
        </row>
        <row r="175">
          <cell r="C175" t="str">
            <v/>
          </cell>
        </row>
        <row r="176">
          <cell r="C176" t="str">
            <v/>
          </cell>
        </row>
        <row r="177">
          <cell r="C177" t="str">
            <v/>
          </cell>
        </row>
        <row r="178">
          <cell r="C178" t="str">
            <v/>
          </cell>
        </row>
        <row r="179">
          <cell r="C179" t="str">
            <v/>
          </cell>
        </row>
        <row r="180">
          <cell r="C180" t="str">
            <v/>
          </cell>
        </row>
        <row r="181">
          <cell r="C181" t="str">
            <v/>
          </cell>
        </row>
        <row r="182">
          <cell r="C182" t="str">
            <v/>
          </cell>
        </row>
        <row r="183">
          <cell r="C183" t="str">
            <v/>
          </cell>
        </row>
        <row r="184">
          <cell r="C184" t="str">
            <v/>
          </cell>
        </row>
        <row r="185">
          <cell r="C185" t="str">
            <v/>
          </cell>
        </row>
        <row r="186">
          <cell r="C186" t="str">
            <v/>
          </cell>
        </row>
        <row r="187">
          <cell r="C187" t="str">
            <v/>
          </cell>
        </row>
        <row r="188">
          <cell r="C188" t="str">
            <v/>
          </cell>
        </row>
        <row r="189">
          <cell r="C189" t="str">
            <v/>
          </cell>
        </row>
        <row r="190">
          <cell r="C190" t="str">
            <v/>
          </cell>
        </row>
        <row r="191">
          <cell r="C191" t="str">
            <v/>
          </cell>
        </row>
        <row r="192">
          <cell r="C192" t="str">
            <v/>
          </cell>
        </row>
        <row r="193">
          <cell r="C193" t="str">
            <v/>
          </cell>
        </row>
        <row r="194">
          <cell r="C194" t="str">
            <v/>
          </cell>
        </row>
        <row r="195">
          <cell r="C195" t="str">
            <v/>
          </cell>
        </row>
        <row r="196">
          <cell r="C196" t="str">
            <v/>
          </cell>
        </row>
        <row r="197">
          <cell r="C197" t="str">
            <v/>
          </cell>
        </row>
        <row r="198">
          <cell r="C198" t="str">
            <v/>
          </cell>
        </row>
        <row r="199">
          <cell r="C199" t="str">
            <v/>
          </cell>
        </row>
        <row r="200">
          <cell r="C200" t="str">
            <v/>
          </cell>
        </row>
        <row r="201">
          <cell r="C201" t="str">
            <v/>
          </cell>
        </row>
        <row r="202">
          <cell r="C202" t="str">
            <v/>
          </cell>
        </row>
        <row r="203">
          <cell r="C203" t="str">
            <v/>
          </cell>
        </row>
        <row r="204">
          <cell r="C204" t="str">
            <v/>
          </cell>
        </row>
        <row r="205">
          <cell r="C205" t="str">
            <v/>
          </cell>
        </row>
        <row r="206">
          <cell r="C206" t="str">
            <v/>
          </cell>
        </row>
        <row r="207">
          <cell r="C207" t="str">
            <v/>
          </cell>
        </row>
        <row r="208">
          <cell r="C208" t="str">
            <v/>
          </cell>
        </row>
        <row r="209">
          <cell r="C209" t="str">
            <v/>
          </cell>
        </row>
        <row r="210">
          <cell r="C210" t="str">
            <v/>
          </cell>
        </row>
        <row r="211">
          <cell r="C211" t="str">
            <v/>
          </cell>
        </row>
        <row r="212">
          <cell r="C212" t="str">
            <v/>
          </cell>
        </row>
        <row r="213">
          <cell r="C213" t="str">
            <v/>
          </cell>
        </row>
        <row r="214">
          <cell r="C214" t="str">
            <v/>
          </cell>
        </row>
        <row r="215">
          <cell r="C215" t="str">
            <v/>
          </cell>
        </row>
        <row r="216">
          <cell r="C216" t="str">
            <v/>
          </cell>
        </row>
        <row r="217">
          <cell r="C217" t="str">
            <v/>
          </cell>
        </row>
        <row r="218">
          <cell r="C218" t="str">
            <v/>
          </cell>
        </row>
        <row r="219">
          <cell r="C219" t="str">
            <v/>
          </cell>
        </row>
        <row r="220">
          <cell r="C220" t="str">
            <v/>
          </cell>
        </row>
        <row r="221">
          <cell r="C221" t="str">
            <v/>
          </cell>
        </row>
        <row r="222">
          <cell r="C222" t="str">
            <v/>
          </cell>
        </row>
        <row r="223">
          <cell r="C223" t="str">
            <v/>
          </cell>
        </row>
        <row r="224">
          <cell r="C224" t="str">
            <v/>
          </cell>
        </row>
        <row r="225">
          <cell r="C225" t="str">
            <v/>
          </cell>
        </row>
        <row r="226">
          <cell r="C226" t="str">
            <v/>
          </cell>
        </row>
        <row r="227">
          <cell r="C227" t="str">
            <v/>
          </cell>
        </row>
        <row r="228">
          <cell r="C228" t="str">
            <v/>
          </cell>
        </row>
        <row r="229">
          <cell r="C229" t="str">
            <v/>
          </cell>
        </row>
        <row r="230">
          <cell r="C230" t="str">
            <v/>
          </cell>
        </row>
        <row r="231">
          <cell r="C231" t="str">
            <v/>
          </cell>
        </row>
        <row r="232">
          <cell r="C232" t="str">
            <v/>
          </cell>
        </row>
        <row r="233">
          <cell r="C233" t="str">
            <v/>
          </cell>
        </row>
        <row r="234">
          <cell r="C234" t="str">
            <v/>
          </cell>
        </row>
        <row r="235">
          <cell r="C235" t="str">
            <v/>
          </cell>
        </row>
        <row r="236">
          <cell r="C236" t="str">
            <v/>
          </cell>
        </row>
        <row r="237">
          <cell r="C237" t="str">
            <v/>
          </cell>
        </row>
        <row r="238">
          <cell r="C238" t="str">
            <v/>
          </cell>
        </row>
        <row r="239">
          <cell r="C239" t="str">
            <v/>
          </cell>
        </row>
        <row r="240">
          <cell r="C240" t="str">
            <v/>
          </cell>
        </row>
        <row r="241">
          <cell r="C241" t="str">
            <v/>
          </cell>
        </row>
        <row r="242">
          <cell r="C242" t="str">
            <v/>
          </cell>
        </row>
        <row r="243">
          <cell r="C243" t="str">
            <v/>
          </cell>
        </row>
        <row r="244">
          <cell r="C244" t="str">
            <v/>
          </cell>
        </row>
        <row r="245">
          <cell r="C245" t="str">
            <v/>
          </cell>
        </row>
        <row r="246">
          <cell r="C246" t="str">
            <v/>
          </cell>
        </row>
        <row r="247">
          <cell r="C247" t="str">
            <v/>
          </cell>
        </row>
        <row r="248">
          <cell r="C248" t="str">
            <v/>
          </cell>
        </row>
        <row r="249">
          <cell r="C249" t="str">
            <v/>
          </cell>
        </row>
        <row r="250">
          <cell r="C250" t="str">
            <v/>
          </cell>
        </row>
        <row r="251">
          <cell r="C251" t="str">
            <v/>
          </cell>
        </row>
        <row r="252">
          <cell r="C252" t="str">
            <v/>
          </cell>
        </row>
        <row r="253">
          <cell r="C253" t="str">
            <v/>
          </cell>
        </row>
        <row r="254">
          <cell r="C254" t="str">
            <v/>
          </cell>
        </row>
        <row r="255">
          <cell r="C255" t="str">
            <v/>
          </cell>
        </row>
        <row r="256">
          <cell r="C256" t="str">
            <v/>
          </cell>
        </row>
        <row r="257">
          <cell r="C257" t="str">
            <v/>
          </cell>
        </row>
        <row r="258">
          <cell r="C258" t="str">
            <v/>
          </cell>
        </row>
        <row r="259">
          <cell r="C259" t="str">
            <v/>
          </cell>
        </row>
        <row r="260">
          <cell r="C260" t="str">
            <v/>
          </cell>
        </row>
        <row r="261">
          <cell r="C261" t="str">
            <v/>
          </cell>
        </row>
        <row r="262">
          <cell r="C262" t="str">
            <v/>
          </cell>
        </row>
        <row r="263">
          <cell r="C263" t="str">
            <v/>
          </cell>
        </row>
        <row r="264">
          <cell r="C264" t="str">
            <v/>
          </cell>
        </row>
        <row r="265">
          <cell r="C265" t="str">
            <v/>
          </cell>
        </row>
        <row r="266">
          <cell r="C266" t="str">
            <v/>
          </cell>
        </row>
        <row r="267">
          <cell r="C267" t="str">
            <v/>
          </cell>
        </row>
        <row r="268">
          <cell r="C268" t="str">
            <v/>
          </cell>
        </row>
        <row r="269">
          <cell r="C269" t="str">
            <v/>
          </cell>
        </row>
        <row r="270">
          <cell r="C270" t="str">
            <v/>
          </cell>
        </row>
        <row r="271">
          <cell r="C271" t="str">
            <v/>
          </cell>
        </row>
        <row r="272">
          <cell r="C272" t="str">
            <v/>
          </cell>
        </row>
        <row r="273">
          <cell r="C273" t="str">
            <v/>
          </cell>
        </row>
        <row r="274">
          <cell r="C274" t="str">
            <v/>
          </cell>
        </row>
        <row r="275">
          <cell r="C275" t="str">
            <v/>
          </cell>
        </row>
        <row r="276">
          <cell r="C276" t="str">
            <v/>
          </cell>
        </row>
        <row r="277">
          <cell r="C277" t="str">
            <v/>
          </cell>
        </row>
        <row r="278">
          <cell r="C278" t="str">
            <v/>
          </cell>
        </row>
        <row r="279">
          <cell r="C279" t="str">
            <v/>
          </cell>
        </row>
        <row r="280">
          <cell r="C280" t="str">
            <v/>
          </cell>
        </row>
        <row r="281">
          <cell r="C281" t="str">
            <v/>
          </cell>
        </row>
        <row r="282">
          <cell r="C282" t="str">
            <v/>
          </cell>
        </row>
        <row r="283">
          <cell r="C283" t="str">
            <v/>
          </cell>
        </row>
        <row r="284">
          <cell r="C284" t="str">
            <v/>
          </cell>
        </row>
        <row r="285">
          <cell r="C285" t="str">
            <v/>
          </cell>
        </row>
        <row r="286">
          <cell r="C286" t="str">
            <v/>
          </cell>
        </row>
        <row r="287">
          <cell r="C287" t="str">
            <v/>
          </cell>
        </row>
        <row r="288">
          <cell r="C288" t="str">
            <v/>
          </cell>
        </row>
        <row r="289">
          <cell r="C289" t="str">
            <v/>
          </cell>
        </row>
        <row r="290">
          <cell r="C290" t="str">
            <v/>
          </cell>
        </row>
        <row r="291">
          <cell r="C291" t="str">
            <v/>
          </cell>
        </row>
        <row r="292">
          <cell r="C292" t="str">
            <v/>
          </cell>
        </row>
        <row r="293">
          <cell r="C293" t="str">
            <v/>
          </cell>
        </row>
        <row r="294">
          <cell r="C294" t="str">
            <v/>
          </cell>
        </row>
        <row r="295">
          <cell r="C295" t="str">
            <v/>
          </cell>
        </row>
        <row r="296">
          <cell r="C296" t="str">
            <v/>
          </cell>
        </row>
        <row r="297">
          <cell r="C297" t="str">
            <v/>
          </cell>
        </row>
        <row r="298">
          <cell r="C298" t="str">
            <v/>
          </cell>
        </row>
        <row r="299">
          <cell r="C299" t="str">
            <v/>
          </cell>
        </row>
        <row r="300">
          <cell r="C300" t="str">
            <v/>
          </cell>
        </row>
        <row r="301">
          <cell r="C301" t="str">
            <v/>
          </cell>
        </row>
        <row r="302">
          <cell r="C302" t="str">
            <v/>
          </cell>
        </row>
        <row r="303">
          <cell r="C303" t="str">
            <v/>
          </cell>
        </row>
        <row r="304">
          <cell r="C304" t="str">
            <v/>
          </cell>
        </row>
        <row r="305">
          <cell r="C305" t="str">
            <v/>
          </cell>
        </row>
        <row r="306">
          <cell r="C306" t="str">
            <v/>
          </cell>
        </row>
        <row r="307">
          <cell r="C307" t="str">
            <v/>
          </cell>
        </row>
        <row r="308">
          <cell r="C308" t="str">
            <v/>
          </cell>
        </row>
        <row r="309">
          <cell r="C309" t="str">
            <v/>
          </cell>
        </row>
        <row r="310">
          <cell r="C310" t="str">
            <v/>
          </cell>
        </row>
        <row r="311">
          <cell r="C311" t="str">
            <v/>
          </cell>
        </row>
        <row r="312">
          <cell r="C312" t="str">
            <v/>
          </cell>
        </row>
        <row r="313">
          <cell r="C313" t="str">
            <v/>
          </cell>
        </row>
        <row r="314">
          <cell r="C314" t="str">
            <v/>
          </cell>
        </row>
        <row r="315">
          <cell r="C315" t="str">
            <v/>
          </cell>
        </row>
        <row r="316">
          <cell r="C316" t="str">
            <v/>
          </cell>
        </row>
        <row r="317">
          <cell r="C317" t="str">
            <v/>
          </cell>
        </row>
        <row r="318">
          <cell r="C318" t="str">
            <v/>
          </cell>
        </row>
        <row r="319">
          <cell r="C319" t="str">
            <v/>
          </cell>
        </row>
        <row r="320">
          <cell r="C320" t="str">
            <v/>
          </cell>
        </row>
        <row r="321">
          <cell r="C321" t="str">
            <v/>
          </cell>
        </row>
        <row r="322">
          <cell r="C322" t="str">
            <v/>
          </cell>
        </row>
        <row r="323">
          <cell r="C323" t="str">
            <v/>
          </cell>
        </row>
        <row r="324">
          <cell r="C324" t="str">
            <v/>
          </cell>
        </row>
        <row r="325">
          <cell r="C325" t="str">
            <v/>
          </cell>
        </row>
        <row r="326">
          <cell r="C326" t="str">
            <v/>
          </cell>
        </row>
        <row r="327">
          <cell r="C327" t="str">
            <v/>
          </cell>
        </row>
        <row r="328">
          <cell r="C328" t="str">
            <v/>
          </cell>
        </row>
        <row r="329">
          <cell r="C329" t="str">
            <v/>
          </cell>
        </row>
        <row r="330">
          <cell r="C330" t="str">
            <v/>
          </cell>
        </row>
        <row r="331">
          <cell r="C331" t="str">
            <v/>
          </cell>
        </row>
        <row r="332">
          <cell r="C332" t="str">
            <v/>
          </cell>
        </row>
        <row r="333">
          <cell r="C333" t="str">
            <v/>
          </cell>
        </row>
        <row r="334">
          <cell r="C334" t="str">
            <v/>
          </cell>
        </row>
        <row r="335">
          <cell r="C335" t="str">
            <v/>
          </cell>
        </row>
        <row r="336">
          <cell r="C336" t="str">
            <v/>
          </cell>
        </row>
        <row r="337">
          <cell r="C337" t="str">
            <v/>
          </cell>
        </row>
        <row r="338">
          <cell r="C338" t="str">
            <v/>
          </cell>
        </row>
        <row r="339">
          <cell r="C339" t="str">
            <v/>
          </cell>
        </row>
        <row r="340">
          <cell r="C340" t="str">
            <v/>
          </cell>
        </row>
        <row r="341">
          <cell r="C341" t="str">
            <v/>
          </cell>
        </row>
        <row r="342">
          <cell r="C342" t="str">
            <v/>
          </cell>
        </row>
        <row r="343">
          <cell r="C343" t="str">
            <v/>
          </cell>
        </row>
        <row r="344">
          <cell r="C344" t="str">
            <v/>
          </cell>
        </row>
        <row r="345">
          <cell r="C345" t="str">
            <v/>
          </cell>
        </row>
        <row r="346">
          <cell r="C346" t="str">
            <v/>
          </cell>
        </row>
        <row r="347">
          <cell r="C347" t="str">
            <v/>
          </cell>
        </row>
        <row r="348">
          <cell r="C348" t="str">
            <v/>
          </cell>
        </row>
        <row r="349">
          <cell r="C349" t="str">
            <v/>
          </cell>
        </row>
        <row r="350">
          <cell r="C350" t="str">
            <v/>
          </cell>
        </row>
        <row r="351">
          <cell r="C351" t="str">
            <v/>
          </cell>
        </row>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row r="401">
          <cell r="C401" t="str">
            <v/>
          </cell>
        </row>
        <row r="402">
          <cell r="C402" t="str">
            <v/>
          </cell>
        </row>
        <row r="403">
          <cell r="C403" t="str">
            <v/>
          </cell>
        </row>
        <row r="404">
          <cell r="C404" t="str">
            <v/>
          </cell>
        </row>
        <row r="405">
          <cell r="C405" t="str">
            <v/>
          </cell>
        </row>
        <row r="406">
          <cell r="C406" t="str">
            <v/>
          </cell>
        </row>
        <row r="407">
          <cell r="C407" t="str">
            <v/>
          </cell>
        </row>
        <row r="408">
          <cell r="C408" t="str">
            <v/>
          </cell>
        </row>
        <row r="409">
          <cell r="C409" t="str">
            <v/>
          </cell>
        </row>
        <row r="410">
          <cell r="C410" t="str">
            <v/>
          </cell>
        </row>
        <row r="411">
          <cell r="C411" t="str">
            <v/>
          </cell>
        </row>
        <row r="412">
          <cell r="C412" t="str">
            <v/>
          </cell>
        </row>
        <row r="413">
          <cell r="C413" t="str">
            <v/>
          </cell>
        </row>
        <row r="414">
          <cell r="C414" t="str">
            <v/>
          </cell>
        </row>
        <row r="415">
          <cell r="C415" t="str">
            <v/>
          </cell>
        </row>
        <row r="416">
          <cell r="C416" t="str">
            <v/>
          </cell>
        </row>
        <row r="417">
          <cell r="C417" t="str">
            <v/>
          </cell>
        </row>
        <row r="418">
          <cell r="C418" t="str">
            <v/>
          </cell>
        </row>
        <row r="419">
          <cell r="C419" t="str">
            <v/>
          </cell>
        </row>
        <row r="420">
          <cell r="C420" t="str">
            <v/>
          </cell>
        </row>
        <row r="421">
          <cell r="C421" t="str">
            <v/>
          </cell>
        </row>
        <row r="422">
          <cell r="C422" t="str">
            <v/>
          </cell>
        </row>
        <row r="423">
          <cell r="C423" t="str">
            <v/>
          </cell>
        </row>
        <row r="424">
          <cell r="C424" t="str">
            <v/>
          </cell>
        </row>
        <row r="425">
          <cell r="C425" t="str">
            <v/>
          </cell>
        </row>
        <row r="426">
          <cell r="C426" t="str">
            <v/>
          </cell>
        </row>
        <row r="427">
          <cell r="C427" t="str">
            <v/>
          </cell>
        </row>
        <row r="428">
          <cell r="C428" t="str">
            <v/>
          </cell>
        </row>
        <row r="429">
          <cell r="C429" t="str">
            <v/>
          </cell>
        </row>
        <row r="430">
          <cell r="C430" t="str">
            <v/>
          </cell>
        </row>
        <row r="431">
          <cell r="C431" t="str">
            <v/>
          </cell>
        </row>
        <row r="432">
          <cell r="C432" t="str">
            <v/>
          </cell>
        </row>
        <row r="433">
          <cell r="C433" t="str">
            <v/>
          </cell>
        </row>
        <row r="434">
          <cell r="C434" t="str">
            <v/>
          </cell>
        </row>
        <row r="435">
          <cell r="C435" t="str">
            <v/>
          </cell>
        </row>
        <row r="436">
          <cell r="C436" t="str">
            <v/>
          </cell>
        </row>
        <row r="437">
          <cell r="C437" t="str">
            <v/>
          </cell>
        </row>
        <row r="438">
          <cell r="C438" t="str">
            <v/>
          </cell>
        </row>
        <row r="439">
          <cell r="C439" t="str">
            <v/>
          </cell>
        </row>
        <row r="440">
          <cell r="C440" t="str">
            <v/>
          </cell>
        </row>
        <row r="441">
          <cell r="C441" t="str">
            <v/>
          </cell>
        </row>
        <row r="442">
          <cell r="C442" t="str">
            <v/>
          </cell>
        </row>
        <row r="443">
          <cell r="C443" t="str">
            <v/>
          </cell>
        </row>
        <row r="444">
          <cell r="C444" t="str">
            <v/>
          </cell>
        </row>
        <row r="445">
          <cell r="C445" t="str">
            <v/>
          </cell>
        </row>
        <row r="446">
          <cell r="C446" t="str">
            <v/>
          </cell>
        </row>
        <row r="447">
          <cell r="C447" t="str">
            <v/>
          </cell>
        </row>
        <row r="448">
          <cell r="C448" t="str">
            <v/>
          </cell>
        </row>
        <row r="449">
          <cell r="C449" t="str">
            <v/>
          </cell>
        </row>
        <row r="450">
          <cell r="C450" t="str">
            <v/>
          </cell>
        </row>
        <row r="451">
          <cell r="C451" t="str">
            <v/>
          </cell>
        </row>
        <row r="452">
          <cell r="C452" t="str">
            <v/>
          </cell>
        </row>
        <row r="453">
          <cell r="C453" t="str">
            <v/>
          </cell>
        </row>
        <row r="454">
          <cell r="C454" t="str">
            <v/>
          </cell>
        </row>
        <row r="455">
          <cell r="C455" t="str">
            <v/>
          </cell>
        </row>
        <row r="456">
          <cell r="C456" t="str">
            <v/>
          </cell>
        </row>
        <row r="457">
          <cell r="C457" t="str">
            <v/>
          </cell>
        </row>
        <row r="458">
          <cell r="C458" t="str">
            <v/>
          </cell>
        </row>
        <row r="459">
          <cell r="C459" t="str">
            <v/>
          </cell>
        </row>
        <row r="460">
          <cell r="C460" t="str">
            <v/>
          </cell>
        </row>
        <row r="461">
          <cell r="C461" t="str">
            <v/>
          </cell>
        </row>
        <row r="462">
          <cell r="C462" t="str">
            <v/>
          </cell>
        </row>
        <row r="463">
          <cell r="C463" t="str">
            <v/>
          </cell>
        </row>
        <row r="464">
          <cell r="C464" t="str">
            <v/>
          </cell>
        </row>
        <row r="465">
          <cell r="C465" t="str">
            <v/>
          </cell>
        </row>
        <row r="466">
          <cell r="C466" t="str">
            <v/>
          </cell>
        </row>
        <row r="467">
          <cell r="C467" t="str">
            <v/>
          </cell>
        </row>
        <row r="468">
          <cell r="C468" t="str">
            <v/>
          </cell>
        </row>
        <row r="469">
          <cell r="C469" t="str">
            <v/>
          </cell>
        </row>
        <row r="470">
          <cell r="C470" t="str">
            <v/>
          </cell>
        </row>
        <row r="471">
          <cell r="C471" t="str">
            <v/>
          </cell>
        </row>
        <row r="472">
          <cell r="C472" t="str">
            <v/>
          </cell>
        </row>
        <row r="473">
          <cell r="C473" t="str">
            <v/>
          </cell>
        </row>
        <row r="474">
          <cell r="C474" t="str">
            <v/>
          </cell>
        </row>
        <row r="475">
          <cell r="C475" t="str">
            <v/>
          </cell>
        </row>
        <row r="476">
          <cell r="C476" t="str">
            <v/>
          </cell>
        </row>
        <row r="477">
          <cell r="C477" t="str">
            <v/>
          </cell>
        </row>
        <row r="478">
          <cell r="C478" t="str">
            <v/>
          </cell>
        </row>
        <row r="479">
          <cell r="C479" t="str">
            <v/>
          </cell>
        </row>
        <row r="480">
          <cell r="C480" t="str">
            <v/>
          </cell>
        </row>
        <row r="481">
          <cell r="C481" t="str">
            <v/>
          </cell>
        </row>
        <row r="482">
          <cell r="C482" t="str">
            <v/>
          </cell>
        </row>
        <row r="483">
          <cell r="C483" t="str">
            <v/>
          </cell>
        </row>
        <row r="484">
          <cell r="C484" t="str">
            <v/>
          </cell>
        </row>
        <row r="485">
          <cell r="C485" t="str">
            <v/>
          </cell>
        </row>
        <row r="486">
          <cell r="C486" t="str">
            <v/>
          </cell>
        </row>
        <row r="487">
          <cell r="C487" t="str">
            <v/>
          </cell>
        </row>
        <row r="488">
          <cell r="C488" t="str">
            <v/>
          </cell>
        </row>
        <row r="489">
          <cell r="C489" t="str">
            <v/>
          </cell>
        </row>
        <row r="490">
          <cell r="C490" t="str">
            <v/>
          </cell>
        </row>
        <row r="491">
          <cell r="C491" t="str">
            <v/>
          </cell>
        </row>
        <row r="492">
          <cell r="C492" t="str">
            <v/>
          </cell>
        </row>
        <row r="493">
          <cell r="C493" t="str">
            <v/>
          </cell>
        </row>
        <row r="494">
          <cell r="C494" t="str">
            <v/>
          </cell>
        </row>
        <row r="495">
          <cell r="C495" t="str">
            <v/>
          </cell>
        </row>
        <row r="496">
          <cell r="C496" t="str">
            <v/>
          </cell>
        </row>
        <row r="497">
          <cell r="C497" t="str">
            <v/>
          </cell>
        </row>
        <row r="498">
          <cell r="C498" t="str">
            <v/>
          </cell>
        </row>
        <row r="499">
          <cell r="C499" t="str">
            <v/>
          </cell>
        </row>
        <row r="500">
          <cell r="C500" t="str">
            <v/>
          </cell>
        </row>
        <row r="501">
          <cell r="C501" t="str">
            <v/>
          </cell>
        </row>
        <row r="502">
          <cell r="C502" t="str">
            <v/>
          </cell>
        </row>
        <row r="503">
          <cell r="C503" t="str">
            <v/>
          </cell>
        </row>
        <row r="504">
          <cell r="C504" t="str">
            <v/>
          </cell>
        </row>
        <row r="505">
          <cell r="C505" t="str">
            <v/>
          </cell>
        </row>
        <row r="506">
          <cell r="C506" t="str">
            <v/>
          </cell>
        </row>
        <row r="507">
          <cell r="C507" t="str">
            <v/>
          </cell>
        </row>
        <row r="508">
          <cell r="C508" t="str">
            <v/>
          </cell>
        </row>
        <row r="509">
          <cell r="C509" t="str">
            <v/>
          </cell>
        </row>
        <row r="510">
          <cell r="C510" t="str">
            <v/>
          </cell>
        </row>
        <row r="511">
          <cell r="C511" t="str">
            <v/>
          </cell>
        </row>
        <row r="512">
          <cell r="C512" t="str">
            <v/>
          </cell>
        </row>
        <row r="513">
          <cell r="C513" t="str">
            <v/>
          </cell>
        </row>
        <row r="514">
          <cell r="C514" t="str">
            <v/>
          </cell>
        </row>
        <row r="515">
          <cell r="C515" t="str">
            <v/>
          </cell>
        </row>
        <row r="516">
          <cell r="C516" t="str">
            <v/>
          </cell>
        </row>
        <row r="517">
          <cell r="C517" t="str">
            <v/>
          </cell>
        </row>
        <row r="518">
          <cell r="C518" t="str">
            <v/>
          </cell>
        </row>
        <row r="519">
          <cell r="C519" t="str">
            <v/>
          </cell>
        </row>
        <row r="520">
          <cell r="C520" t="str">
            <v/>
          </cell>
        </row>
        <row r="521">
          <cell r="C521" t="str">
            <v/>
          </cell>
        </row>
        <row r="522">
          <cell r="C522" t="str">
            <v/>
          </cell>
        </row>
        <row r="523">
          <cell r="C523" t="str">
            <v/>
          </cell>
        </row>
        <row r="524">
          <cell r="C524" t="str">
            <v/>
          </cell>
        </row>
        <row r="525">
          <cell r="C525" t="str">
            <v/>
          </cell>
        </row>
        <row r="526">
          <cell r="C526" t="str">
            <v/>
          </cell>
        </row>
        <row r="527">
          <cell r="C527" t="str">
            <v/>
          </cell>
        </row>
        <row r="528">
          <cell r="C528" t="str">
            <v/>
          </cell>
        </row>
        <row r="529">
          <cell r="C529" t="str">
            <v/>
          </cell>
        </row>
        <row r="530">
          <cell r="C530" t="str">
            <v/>
          </cell>
        </row>
        <row r="531">
          <cell r="C531" t="str">
            <v/>
          </cell>
        </row>
        <row r="532">
          <cell r="C532" t="str">
            <v/>
          </cell>
        </row>
        <row r="533">
          <cell r="C533" t="str">
            <v/>
          </cell>
        </row>
        <row r="534">
          <cell r="C534" t="str">
            <v/>
          </cell>
        </row>
        <row r="535">
          <cell r="C535" t="str">
            <v/>
          </cell>
        </row>
        <row r="536">
          <cell r="C536" t="str">
            <v/>
          </cell>
        </row>
        <row r="537">
          <cell r="C537" t="str">
            <v/>
          </cell>
        </row>
        <row r="538">
          <cell r="C538" t="str">
            <v/>
          </cell>
        </row>
        <row r="539">
          <cell r="C539" t="str">
            <v/>
          </cell>
        </row>
        <row r="540">
          <cell r="C540" t="str">
            <v/>
          </cell>
        </row>
        <row r="541">
          <cell r="C541" t="str">
            <v/>
          </cell>
        </row>
        <row r="542">
          <cell r="C542" t="str">
            <v/>
          </cell>
        </row>
        <row r="543">
          <cell r="C543" t="str">
            <v/>
          </cell>
        </row>
        <row r="544">
          <cell r="C544" t="str">
            <v/>
          </cell>
        </row>
        <row r="545">
          <cell r="C545" t="str">
            <v/>
          </cell>
        </row>
        <row r="546">
          <cell r="C546" t="str">
            <v/>
          </cell>
        </row>
        <row r="547">
          <cell r="C547" t="str">
            <v/>
          </cell>
        </row>
        <row r="548">
          <cell r="C548" t="str">
            <v/>
          </cell>
        </row>
        <row r="549">
          <cell r="C549" t="str">
            <v/>
          </cell>
        </row>
        <row r="550">
          <cell r="C550" t="str">
            <v/>
          </cell>
        </row>
        <row r="551">
          <cell r="C551" t="str">
            <v/>
          </cell>
        </row>
        <row r="552">
          <cell r="C552" t="str">
            <v/>
          </cell>
        </row>
        <row r="553">
          <cell r="C553" t="str">
            <v/>
          </cell>
        </row>
        <row r="554">
          <cell r="C554" t="str">
            <v/>
          </cell>
        </row>
        <row r="555">
          <cell r="C555" t="str">
            <v/>
          </cell>
        </row>
        <row r="556">
          <cell r="C556" t="str">
            <v/>
          </cell>
        </row>
        <row r="557">
          <cell r="C557" t="str">
            <v/>
          </cell>
        </row>
        <row r="558">
          <cell r="C558" t="str">
            <v/>
          </cell>
        </row>
        <row r="559">
          <cell r="C559" t="str">
            <v/>
          </cell>
        </row>
        <row r="560">
          <cell r="C560" t="str">
            <v/>
          </cell>
        </row>
        <row r="561">
          <cell r="C561" t="str">
            <v/>
          </cell>
        </row>
        <row r="562">
          <cell r="C562" t="str">
            <v/>
          </cell>
        </row>
        <row r="563">
          <cell r="C563" t="str">
            <v/>
          </cell>
        </row>
        <row r="564">
          <cell r="C564" t="str">
            <v/>
          </cell>
        </row>
        <row r="565">
          <cell r="C565" t="str">
            <v/>
          </cell>
        </row>
        <row r="566">
          <cell r="C566" t="str">
            <v/>
          </cell>
        </row>
        <row r="567">
          <cell r="C567" t="str">
            <v/>
          </cell>
        </row>
        <row r="568">
          <cell r="C568" t="str">
            <v/>
          </cell>
        </row>
        <row r="569">
          <cell r="C569" t="str">
            <v/>
          </cell>
        </row>
        <row r="570">
          <cell r="C570" t="str">
            <v/>
          </cell>
        </row>
        <row r="571">
          <cell r="C571" t="str">
            <v/>
          </cell>
        </row>
        <row r="572">
          <cell r="C572" t="str">
            <v/>
          </cell>
        </row>
        <row r="573">
          <cell r="C573" t="str">
            <v/>
          </cell>
        </row>
        <row r="574">
          <cell r="C574" t="str">
            <v/>
          </cell>
        </row>
        <row r="575">
          <cell r="C575" t="str">
            <v/>
          </cell>
        </row>
        <row r="576">
          <cell r="C576" t="str">
            <v/>
          </cell>
        </row>
        <row r="577">
          <cell r="C577" t="str">
            <v/>
          </cell>
        </row>
        <row r="578">
          <cell r="C578" t="str">
            <v/>
          </cell>
        </row>
        <row r="579">
          <cell r="C579" t="str">
            <v/>
          </cell>
        </row>
        <row r="580">
          <cell r="C580" t="str">
            <v/>
          </cell>
        </row>
        <row r="581">
          <cell r="C581" t="str">
            <v/>
          </cell>
        </row>
        <row r="582">
          <cell r="C582" t="str">
            <v/>
          </cell>
        </row>
        <row r="583">
          <cell r="C583" t="str">
            <v/>
          </cell>
        </row>
        <row r="584">
          <cell r="C584" t="str">
            <v/>
          </cell>
        </row>
        <row r="585">
          <cell r="C585" t="str">
            <v/>
          </cell>
        </row>
        <row r="586">
          <cell r="C586" t="str">
            <v/>
          </cell>
        </row>
        <row r="587">
          <cell r="C587" t="str">
            <v/>
          </cell>
        </row>
        <row r="588">
          <cell r="C588" t="str">
            <v/>
          </cell>
        </row>
        <row r="589">
          <cell r="C589" t="str">
            <v/>
          </cell>
        </row>
        <row r="590">
          <cell r="C590" t="str">
            <v/>
          </cell>
        </row>
        <row r="591">
          <cell r="C591" t="str">
            <v/>
          </cell>
        </row>
        <row r="592">
          <cell r="C592" t="str">
            <v/>
          </cell>
        </row>
        <row r="593">
          <cell r="C593" t="str">
            <v/>
          </cell>
        </row>
        <row r="594">
          <cell r="C594" t="str">
            <v/>
          </cell>
        </row>
        <row r="595">
          <cell r="C595" t="str">
            <v/>
          </cell>
        </row>
        <row r="596">
          <cell r="C596" t="str">
            <v/>
          </cell>
        </row>
        <row r="597">
          <cell r="C597" t="str">
            <v/>
          </cell>
        </row>
        <row r="598">
          <cell r="C598" t="str">
            <v/>
          </cell>
        </row>
        <row r="599">
          <cell r="C599" t="str">
            <v/>
          </cell>
        </row>
        <row r="600">
          <cell r="C600" t="str">
            <v/>
          </cell>
        </row>
        <row r="601">
          <cell r="C601" t="str">
            <v/>
          </cell>
        </row>
        <row r="602">
          <cell r="C602" t="str">
            <v/>
          </cell>
        </row>
        <row r="603">
          <cell r="C603" t="str">
            <v/>
          </cell>
        </row>
        <row r="604">
          <cell r="C604" t="str">
            <v/>
          </cell>
        </row>
        <row r="605">
          <cell r="C605" t="str">
            <v/>
          </cell>
        </row>
        <row r="606">
          <cell r="C606" t="str">
            <v/>
          </cell>
        </row>
        <row r="607">
          <cell r="C607" t="str">
            <v/>
          </cell>
        </row>
        <row r="608">
          <cell r="C608" t="str">
            <v/>
          </cell>
        </row>
        <row r="609">
          <cell r="C609" t="str">
            <v/>
          </cell>
        </row>
        <row r="610">
          <cell r="C610" t="str">
            <v/>
          </cell>
        </row>
        <row r="611">
          <cell r="C611" t="str">
            <v/>
          </cell>
        </row>
        <row r="612">
          <cell r="C612" t="str">
            <v/>
          </cell>
        </row>
        <row r="613">
          <cell r="C613" t="str">
            <v/>
          </cell>
        </row>
        <row r="614">
          <cell r="C614" t="str">
            <v/>
          </cell>
        </row>
        <row r="615">
          <cell r="C615" t="str">
            <v/>
          </cell>
        </row>
        <row r="616">
          <cell r="C616" t="str">
            <v/>
          </cell>
        </row>
        <row r="617">
          <cell r="C617" t="str">
            <v/>
          </cell>
        </row>
        <row r="618">
          <cell r="C618" t="str">
            <v/>
          </cell>
        </row>
        <row r="619">
          <cell r="C619" t="str">
            <v/>
          </cell>
        </row>
        <row r="620">
          <cell r="C620" t="str">
            <v/>
          </cell>
        </row>
        <row r="621">
          <cell r="C621" t="str">
            <v/>
          </cell>
        </row>
        <row r="622">
          <cell r="C622" t="str">
            <v/>
          </cell>
        </row>
        <row r="623">
          <cell r="C623" t="str">
            <v/>
          </cell>
        </row>
        <row r="624">
          <cell r="C624" t="str">
            <v/>
          </cell>
        </row>
        <row r="625">
          <cell r="C625" t="str">
            <v/>
          </cell>
        </row>
        <row r="626">
          <cell r="C626" t="str">
            <v/>
          </cell>
        </row>
        <row r="627">
          <cell r="C627" t="str">
            <v/>
          </cell>
        </row>
        <row r="628">
          <cell r="C628" t="str">
            <v/>
          </cell>
        </row>
        <row r="629">
          <cell r="C629" t="str">
            <v/>
          </cell>
        </row>
        <row r="630">
          <cell r="C630" t="str">
            <v/>
          </cell>
        </row>
        <row r="631">
          <cell r="C631" t="str">
            <v/>
          </cell>
        </row>
        <row r="632">
          <cell r="C632" t="str">
            <v/>
          </cell>
        </row>
        <row r="633">
          <cell r="C633" t="str">
            <v/>
          </cell>
        </row>
        <row r="634">
          <cell r="C634" t="str">
            <v/>
          </cell>
        </row>
        <row r="635">
          <cell r="C635" t="str">
            <v/>
          </cell>
        </row>
        <row r="636">
          <cell r="C636" t="str">
            <v/>
          </cell>
        </row>
        <row r="637">
          <cell r="C637" t="str">
            <v/>
          </cell>
        </row>
        <row r="638">
          <cell r="C638" t="str">
            <v/>
          </cell>
        </row>
        <row r="639">
          <cell r="C639" t="str">
            <v/>
          </cell>
        </row>
        <row r="640">
          <cell r="C640" t="str">
            <v/>
          </cell>
        </row>
        <row r="641">
          <cell r="C641" t="str">
            <v/>
          </cell>
        </row>
        <row r="642">
          <cell r="C642" t="str">
            <v/>
          </cell>
        </row>
        <row r="643">
          <cell r="C643" t="str">
            <v/>
          </cell>
        </row>
        <row r="644">
          <cell r="C644" t="str">
            <v/>
          </cell>
        </row>
        <row r="645">
          <cell r="C645" t="str">
            <v/>
          </cell>
        </row>
        <row r="646">
          <cell r="C646" t="str">
            <v/>
          </cell>
        </row>
        <row r="647">
          <cell r="C647" t="str">
            <v/>
          </cell>
        </row>
        <row r="648">
          <cell r="C648" t="str">
            <v/>
          </cell>
        </row>
        <row r="649">
          <cell r="C649" t="str">
            <v/>
          </cell>
        </row>
        <row r="650">
          <cell r="C650" t="str">
            <v/>
          </cell>
        </row>
        <row r="651">
          <cell r="C651" t="str">
            <v/>
          </cell>
        </row>
        <row r="652">
          <cell r="C652" t="str">
            <v/>
          </cell>
        </row>
        <row r="653">
          <cell r="C653" t="str">
            <v/>
          </cell>
        </row>
        <row r="654">
          <cell r="C654" t="str">
            <v/>
          </cell>
        </row>
        <row r="655">
          <cell r="C655" t="str">
            <v/>
          </cell>
        </row>
        <row r="656">
          <cell r="C656" t="str">
            <v/>
          </cell>
        </row>
        <row r="657">
          <cell r="C657" t="str">
            <v/>
          </cell>
        </row>
        <row r="658">
          <cell r="C658" t="str">
            <v/>
          </cell>
        </row>
        <row r="659">
          <cell r="C659" t="str">
            <v/>
          </cell>
        </row>
        <row r="660">
          <cell r="C660" t="str">
            <v/>
          </cell>
        </row>
        <row r="661">
          <cell r="C661" t="str">
            <v/>
          </cell>
        </row>
        <row r="662">
          <cell r="C662" t="str">
            <v/>
          </cell>
        </row>
        <row r="663">
          <cell r="C663" t="str">
            <v/>
          </cell>
        </row>
        <row r="664">
          <cell r="C664" t="str">
            <v/>
          </cell>
        </row>
        <row r="665">
          <cell r="C665" t="str">
            <v/>
          </cell>
        </row>
        <row r="666">
          <cell r="C666" t="str">
            <v/>
          </cell>
        </row>
        <row r="667">
          <cell r="C667" t="str">
            <v/>
          </cell>
        </row>
        <row r="668">
          <cell r="C668" t="str">
            <v/>
          </cell>
        </row>
        <row r="669">
          <cell r="C669" t="str">
            <v/>
          </cell>
        </row>
        <row r="670">
          <cell r="C670" t="str">
            <v/>
          </cell>
        </row>
        <row r="671">
          <cell r="C671" t="str">
            <v/>
          </cell>
        </row>
        <row r="672">
          <cell r="C672" t="str">
            <v/>
          </cell>
        </row>
        <row r="673">
          <cell r="C673" t="str">
            <v/>
          </cell>
        </row>
        <row r="674">
          <cell r="C674" t="str">
            <v/>
          </cell>
        </row>
        <row r="675">
          <cell r="C675" t="str">
            <v/>
          </cell>
        </row>
        <row r="676">
          <cell r="C676" t="str">
            <v/>
          </cell>
        </row>
        <row r="677">
          <cell r="C677" t="str">
            <v/>
          </cell>
        </row>
        <row r="678">
          <cell r="C678" t="str">
            <v/>
          </cell>
        </row>
        <row r="679">
          <cell r="C679" t="str">
            <v/>
          </cell>
        </row>
        <row r="680">
          <cell r="C680" t="str">
            <v/>
          </cell>
        </row>
        <row r="681">
          <cell r="C681" t="str">
            <v/>
          </cell>
        </row>
        <row r="682">
          <cell r="C682" t="str">
            <v/>
          </cell>
        </row>
        <row r="683">
          <cell r="C683" t="str">
            <v/>
          </cell>
        </row>
        <row r="684">
          <cell r="C684" t="str">
            <v/>
          </cell>
        </row>
        <row r="685">
          <cell r="C685" t="str">
            <v/>
          </cell>
        </row>
        <row r="686">
          <cell r="C686" t="str">
            <v/>
          </cell>
        </row>
        <row r="687">
          <cell r="C687" t="str">
            <v/>
          </cell>
        </row>
        <row r="688">
          <cell r="C688" t="str">
            <v/>
          </cell>
        </row>
        <row r="689">
          <cell r="C689" t="str">
            <v/>
          </cell>
        </row>
        <row r="690">
          <cell r="C690" t="str">
            <v/>
          </cell>
        </row>
        <row r="691">
          <cell r="C691" t="str">
            <v/>
          </cell>
        </row>
        <row r="692">
          <cell r="C692" t="str">
            <v/>
          </cell>
        </row>
        <row r="693">
          <cell r="C693" t="str">
            <v/>
          </cell>
        </row>
        <row r="694">
          <cell r="C694" t="str">
            <v/>
          </cell>
        </row>
        <row r="695">
          <cell r="C695" t="str">
            <v/>
          </cell>
        </row>
        <row r="696">
          <cell r="C696" t="str">
            <v/>
          </cell>
        </row>
        <row r="697">
          <cell r="C697" t="str">
            <v/>
          </cell>
        </row>
        <row r="698">
          <cell r="C698" t="str">
            <v/>
          </cell>
        </row>
        <row r="699">
          <cell r="C699" t="str">
            <v/>
          </cell>
        </row>
        <row r="700">
          <cell r="C700" t="str">
            <v/>
          </cell>
        </row>
        <row r="701">
          <cell r="C701" t="str">
            <v/>
          </cell>
        </row>
        <row r="702">
          <cell r="C702" t="str">
            <v/>
          </cell>
        </row>
        <row r="703">
          <cell r="C703" t="str">
            <v/>
          </cell>
        </row>
        <row r="704">
          <cell r="C704" t="str">
            <v/>
          </cell>
        </row>
        <row r="705">
          <cell r="C705" t="str">
            <v/>
          </cell>
        </row>
        <row r="706">
          <cell r="C706" t="str">
            <v/>
          </cell>
        </row>
        <row r="707">
          <cell r="C707" t="str">
            <v/>
          </cell>
        </row>
        <row r="708">
          <cell r="C708" t="str">
            <v/>
          </cell>
        </row>
        <row r="709">
          <cell r="C709" t="str">
            <v/>
          </cell>
        </row>
        <row r="710">
          <cell r="C710" t="str">
            <v/>
          </cell>
        </row>
        <row r="711">
          <cell r="C711" t="str">
            <v/>
          </cell>
        </row>
        <row r="712">
          <cell r="C712" t="str">
            <v/>
          </cell>
        </row>
        <row r="713">
          <cell r="C713" t="str">
            <v/>
          </cell>
        </row>
        <row r="714">
          <cell r="C714" t="str">
            <v/>
          </cell>
        </row>
        <row r="715">
          <cell r="C715" t="str">
            <v/>
          </cell>
        </row>
        <row r="716">
          <cell r="C716" t="str">
            <v/>
          </cell>
        </row>
        <row r="717">
          <cell r="C717" t="str">
            <v/>
          </cell>
        </row>
        <row r="718">
          <cell r="C718" t="str">
            <v/>
          </cell>
        </row>
        <row r="719">
          <cell r="C719" t="str">
            <v/>
          </cell>
        </row>
        <row r="720">
          <cell r="C720" t="str">
            <v/>
          </cell>
        </row>
        <row r="721">
          <cell r="C721" t="str">
            <v/>
          </cell>
        </row>
        <row r="722">
          <cell r="C722" t="str">
            <v/>
          </cell>
        </row>
        <row r="723">
          <cell r="C723" t="str">
            <v/>
          </cell>
        </row>
        <row r="724">
          <cell r="C724" t="str">
            <v/>
          </cell>
        </row>
        <row r="725">
          <cell r="C725" t="str">
            <v/>
          </cell>
        </row>
        <row r="726">
          <cell r="C726" t="str">
            <v/>
          </cell>
        </row>
        <row r="727">
          <cell r="C727" t="str">
            <v/>
          </cell>
        </row>
        <row r="728">
          <cell r="C728" t="str">
            <v/>
          </cell>
        </row>
        <row r="729">
          <cell r="C729" t="str">
            <v/>
          </cell>
        </row>
        <row r="730">
          <cell r="C730" t="str">
            <v/>
          </cell>
        </row>
        <row r="731">
          <cell r="C731" t="str">
            <v/>
          </cell>
        </row>
        <row r="732">
          <cell r="C732" t="str">
            <v/>
          </cell>
        </row>
        <row r="733">
          <cell r="C733" t="str">
            <v/>
          </cell>
        </row>
        <row r="734">
          <cell r="C734" t="str">
            <v/>
          </cell>
        </row>
        <row r="735">
          <cell r="C735" t="str">
            <v/>
          </cell>
        </row>
        <row r="736">
          <cell r="C736" t="str">
            <v/>
          </cell>
        </row>
        <row r="737">
          <cell r="C737" t="str">
            <v/>
          </cell>
        </row>
        <row r="738">
          <cell r="C738" t="str">
            <v/>
          </cell>
        </row>
        <row r="739">
          <cell r="C739" t="str">
            <v/>
          </cell>
        </row>
        <row r="740">
          <cell r="C740" t="str">
            <v/>
          </cell>
        </row>
        <row r="741">
          <cell r="C741" t="str">
            <v/>
          </cell>
        </row>
        <row r="742">
          <cell r="C742" t="str">
            <v/>
          </cell>
        </row>
        <row r="743">
          <cell r="C743" t="str">
            <v/>
          </cell>
        </row>
        <row r="744">
          <cell r="C744" t="str">
            <v/>
          </cell>
        </row>
        <row r="745">
          <cell r="C745" t="str">
            <v/>
          </cell>
        </row>
        <row r="746">
          <cell r="C746" t="str">
            <v/>
          </cell>
        </row>
        <row r="747">
          <cell r="C747" t="str">
            <v/>
          </cell>
        </row>
        <row r="748">
          <cell r="C748" t="str">
            <v/>
          </cell>
        </row>
        <row r="749">
          <cell r="C749" t="str">
            <v/>
          </cell>
        </row>
        <row r="750">
          <cell r="C750" t="str">
            <v/>
          </cell>
        </row>
        <row r="751">
          <cell r="C751" t="str">
            <v/>
          </cell>
        </row>
        <row r="752">
          <cell r="C752" t="str">
            <v/>
          </cell>
        </row>
        <row r="753">
          <cell r="C753" t="str">
            <v/>
          </cell>
        </row>
        <row r="754">
          <cell r="C754" t="str">
            <v/>
          </cell>
        </row>
        <row r="755">
          <cell r="C755" t="str">
            <v/>
          </cell>
        </row>
        <row r="756">
          <cell r="C756" t="str">
            <v/>
          </cell>
        </row>
        <row r="757">
          <cell r="C757" t="str">
            <v/>
          </cell>
        </row>
        <row r="758">
          <cell r="C758" t="str">
            <v/>
          </cell>
        </row>
        <row r="759">
          <cell r="C759" t="str">
            <v/>
          </cell>
        </row>
        <row r="760">
          <cell r="C760" t="str">
            <v/>
          </cell>
        </row>
        <row r="761">
          <cell r="C761" t="str">
            <v/>
          </cell>
        </row>
        <row r="762">
          <cell r="C762" t="str">
            <v/>
          </cell>
        </row>
        <row r="763">
          <cell r="C763" t="str">
            <v/>
          </cell>
        </row>
        <row r="764">
          <cell r="C764" t="str">
            <v/>
          </cell>
        </row>
        <row r="765">
          <cell r="C765" t="str">
            <v/>
          </cell>
        </row>
        <row r="766">
          <cell r="C766" t="str">
            <v/>
          </cell>
        </row>
        <row r="767">
          <cell r="C767" t="str">
            <v/>
          </cell>
        </row>
        <row r="768">
          <cell r="C768" t="str">
            <v/>
          </cell>
        </row>
        <row r="769">
          <cell r="C769" t="str">
            <v/>
          </cell>
        </row>
        <row r="770">
          <cell r="C770" t="str">
            <v/>
          </cell>
        </row>
        <row r="771">
          <cell r="C771" t="str">
            <v/>
          </cell>
        </row>
        <row r="772">
          <cell r="C772" t="str">
            <v/>
          </cell>
        </row>
        <row r="773">
          <cell r="C773" t="str">
            <v/>
          </cell>
        </row>
        <row r="774">
          <cell r="C774" t="str">
            <v/>
          </cell>
        </row>
        <row r="775">
          <cell r="C775" t="str">
            <v/>
          </cell>
        </row>
        <row r="776">
          <cell r="C776" t="str">
            <v/>
          </cell>
        </row>
        <row r="777">
          <cell r="C777" t="str">
            <v/>
          </cell>
        </row>
        <row r="778">
          <cell r="C778" t="str">
            <v/>
          </cell>
        </row>
        <row r="779">
          <cell r="C779" t="str">
            <v/>
          </cell>
        </row>
        <row r="780">
          <cell r="C780" t="str">
            <v/>
          </cell>
        </row>
        <row r="781">
          <cell r="C781" t="str">
            <v/>
          </cell>
        </row>
        <row r="782">
          <cell r="C782" t="str">
            <v/>
          </cell>
        </row>
        <row r="783">
          <cell r="C783" t="str">
            <v/>
          </cell>
        </row>
        <row r="784">
          <cell r="C784" t="str">
            <v/>
          </cell>
        </row>
        <row r="785">
          <cell r="C785" t="str">
            <v/>
          </cell>
        </row>
        <row r="786">
          <cell r="C786" t="str">
            <v/>
          </cell>
        </row>
        <row r="787">
          <cell r="C787" t="str">
            <v/>
          </cell>
        </row>
        <row r="788">
          <cell r="C788" t="str">
            <v/>
          </cell>
        </row>
        <row r="789">
          <cell r="C789" t="str">
            <v/>
          </cell>
        </row>
        <row r="790">
          <cell r="C790" t="str">
            <v/>
          </cell>
        </row>
        <row r="791">
          <cell r="C791" t="str">
            <v/>
          </cell>
        </row>
        <row r="792">
          <cell r="C792" t="str">
            <v/>
          </cell>
        </row>
        <row r="793">
          <cell r="C793" t="str">
            <v/>
          </cell>
        </row>
        <row r="794">
          <cell r="C794" t="str">
            <v/>
          </cell>
        </row>
        <row r="795">
          <cell r="C795" t="str">
            <v/>
          </cell>
        </row>
        <row r="796">
          <cell r="C796" t="str">
            <v/>
          </cell>
        </row>
        <row r="797">
          <cell r="C797" t="str">
            <v/>
          </cell>
        </row>
        <row r="798">
          <cell r="C798" t="str">
            <v/>
          </cell>
        </row>
        <row r="799">
          <cell r="C799" t="str">
            <v/>
          </cell>
        </row>
        <row r="800">
          <cell r="C800" t="str">
            <v/>
          </cell>
        </row>
        <row r="801">
          <cell r="C801" t="str">
            <v/>
          </cell>
        </row>
        <row r="802">
          <cell r="C802" t="str">
            <v/>
          </cell>
        </row>
        <row r="803">
          <cell r="C803" t="str">
            <v/>
          </cell>
        </row>
        <row r="804">
          <cell r="C804" t="str">
            <v/>
          </cell>
        </row>
        <row r="805">
          <cell r="C805" t="str">
            <v/>
          </cell>
        </row>
        <row r="806">
          <cell r="C806" t="str">
            <v/>
          </cell>
        </row>
        <row r="807">
          <cell r="C807" t="str">
            <v/>
          </cell>
        </row>
        <row r="808">
          <cell r="C808" t="str">
            <v/>
          </cell>
        </row>
        <row r="809">
          <cell r="C809" t="str">
            <v/>
          </cell>
        </row>
        <row r="810">
          <cell r="C810" t="str">
            <v/>
          </cell>
        </row>
        <row r="811">
          <cell r="C811" t="str">
            <v/>
          </cell>
        </row>
        <row r="812">
          <cell r="C812" t="str">
            <v/>
          </cell>
        </row>
        <row r="813">
          <cell r="C813" t="str">
            <v/>
          </cell>
        </row>
        <row r="814">
          <cell r="C814" t="str">
            <v/>
          </cell>
        </row>
        <row r="815">
          <cell r="C815" t="str">
            <v/>
          </cell>
        </row>
        <row r="816">
          <cell r="C816" t="str">
            <v/>
          </cell>
        </row>
        <row r="817">
          <cell r="C817" t="str">
            <v/>
          </cell>
        </row>
        <row r="818">
          <cell r="C818" t="str">
            <v/>
          </cell>
        </row>
        <row r="819">
          <cell r="C819" t="str">
            <v/>
          </cell>
        </row>
        <row r="820">
          <cell r="C820" t="str">
            <v/>
          </cell>
        </row>
        <row r="821">
          <cell r="C821" t="str">
            <v/>
          </cell>
        </row>
        <row r="822">
          <cell r="C822" t="str">
            <v/>
          </cell>
        </row>
        <row r="823">
          <cell r="C823" t="str">
            <v/>
          </cell>
        </row>
        <row r="824">
          <cell r="C824" t="str">
            <v/>
          </cell>
        </row>
        <row r="825">
          <cell r="C825" t="str">
            <v/>
          </cell>
        </row>
        <row r="826">
          <cell r="C826" t="str">
            <v/>
          </cell>
        </row>
        <row r="827">
          <cell r="C827" t="str">
            <v/>
          </cell>
        </row>
        <row r="828">
          <cell r="C828" t="str">
            <v/>
          </cell>
        </row>
        <row r="829">
          <cell r="C829" t="str">
            <v/>
          </cell>
        </row>
        <row r="830">
          <cell r="C830" t="str">
            <v/>
          </cell>
        </row>
        <row r="831">
          <cell r="C831" t="str">
            <v/>
          </cell>
        </row>
        <row r="832">
          <cell r="C832" t="str">
            <v/>
          </cell>
        </row>
        <row r="833">
          <cell r="C833" t="str">
            <v/>
          </cell>
        </row>
        <row r="834">
          <cell r="C834" t="str">
            <v/>
          </cell>
        </row>
        <row r="835">
          <cell r="C835" t="str">
            <v/>
          </cell>
        </row>
        <row r="836">
          <cell r="C836" t="str">
            <v/>
          </cell>
        </row>
        <row r="837">
          <cell r="C837" t="str">
            <v/>
          </cell>
        </row>
        <row r="838">
          <cell r="C838" t="str">
            <v/>
          </cell>
        </row>
        <row r="839">
          <cell r="C839" t="str">
            <v/>
          </cell>
        </row>
        <row r="840">
          <cell r="C840" t="str">
            <v/>
          </cell>
        </row>
        <row r="841">
          <cell r="C841" t="str">
            <v/>
          </cell>
        </row>
        <row r="842">
          <cell r="C842" t="str">
            <v/>
          </cell>
        </row>
        <row r="843">
          <cell r="C843" t="str">
            <v/>
          </cell>
        </row>
        <row r="844">
          <cell r="C844" t="str">
            <v/>
          </cell>
        </row>
        <row r="845">
          <cell r="C845" t="str">
            <v/>
          </cell>
        </row>
        <row r="846">
          <cell r="C846" t="str">
            <v/>
          </cell>
        </row>
        <row r="847">
          <cell r="C847" t="str">
            <v/>
          </cell>
        </row>
        <row r="848">
          <cell r="C848" t="str">
            <v/>
          </cell>
        </row>
        <row r="849">
          <cell r="C849" t="str">
            <v/>
          </cell>
        </row>
        <row r="850">
          <cell r="C850" t="str">
            <v/>
          </cell>
        </row>
        <row r="851">
          <cell r="C851" t="str">
            <v/>
          </cell>
        </row>
        <row r="852">
          <cell r="C852" t="str">
            <v/>
          </cell>
        </row>
        <row r="853">
          <cell r="C853" t="str">
            <v/>
          </cell>
        </row>
        <row r="854">
          <cell r="C854" t="str">
            <v/>
          </cell>
        </row>
        <row r="855">
          <cell r="C855" t="str">
            <v/>
          </cell>
        </row>
        <row r="856">
          <cell r="C856" t="str">
            <v/>
          </cell>
        </row>
        <row r="857">
          <cell r="C857" t="str">
            <v/>
          </cell>
        </row>
        <row r="858">
          <cell r="C858" t="str">
            <v/>
          </cell>
        </row>
        <row r="859">
          <cell r="C859" t="str">
            <v/>
          </cell>
        </row>
        <row r="860">
          <cell r="C860" t="str">
            <v/>
          </cell>
        </row>
        <row r="861">
          <cell r="C861" t="str">
            <v/>
          </cell>
        </row>
        <row r="862">
          <cell r="C862" t="str">
            <v/>
          </cell>
        </row>
        <row r="863">
          <cell r="C863" t="str">
            <v/>
          </cell>
        </row>
        <row r="864">
          <cell r="C864" t="str">
            <v/>
          </cell>
        </row>
        <row r="865">
          <cell r="C865" t="str">
            <v/>
          </cell>
        </row>
        <row r="866">
          <cell r="C866" t="str">
            <v/>
          </cell>
        </row>
        <row r="867">
          <cell r="C867" t="str">
            <v/>
          </cell>
        </row>
        <row r="868">
          <cell r="C868" t="str">
            <v/>
          </cell>
        </row>
        <row r="869">
          <cell r="C869" t="str">
            <v/>
          </cell>
        </row>
        <row r="870">
          <cell r="C870" t="str">
            <v/>
          </cell>
        </row>
        <row r="871">
          <cell r="C871" t="str">
            <v/>
          </cell>
        </row>
        <row r="872">
          <cell r="C872" t="str">
            <v/>
          </cell>
        </row>
        <row r="873">
          <cell r="C873" t="str">
            <v/>
          </cell>
        </row>
        <row r="874">
          <cell r="C874" t="str">
            <v/>
          </cell>
        </row>
        <row r="875">
          <cell r="C875" t="str">
            <v/>
          </cell>
        </row>
        <row r="876">
          <cell r="C876" t="str">
            <v/>
          </cell>
        </row>
        <row r="877">
          <cell r="C877" t="str">
            <v/>
          </cell>
        </row>
        <row r="878">
          <cell r="C878" t="str">
            <v/>
          </cell>
        </row>
        <row r="879">
          <cell r="C879" t="str">
            <v/>
          </cell>
        </row>
        <row r="880">
          <cell r="C880" t="str">
            <v/>
          </cell>
        </row>
        <row r="881">
          <cell r="C881" t="str">
            <v/>
          </cell>
        </row>
        <row r="882">
          <cell r="C882" t="str">
            <v/>
          </cell>
        </row>
        <row r="883">
          <cell r="C883" t="str">
            <v/>
          </cell>
        </row>
        <row r="884">
          <cell r="C884" t="str">
            <v/>
          </cell>
        </row>
        <row r="885">
          <cell r="C885" t="str">
            <v/>
          </cell>
        </row>
        <row r="886">
          <cell r="C886" t="str">
            <v/>
          </cell>
        </row>
        <row r="887">
          <cell r="C887" t="str">
            <v/>
          </cell>
        </row>
        <row r="888">
          <cell r="C888" t="str">
            <v/>
          </cell>
        </row>
        <row r="889">
          <cell r="C889" t="str">
            <v/>
          </cell>
        </row>
        <row r="890">
          <cell r="C890" t="str">
            <v/>
          </cell>
        </row>
        <row r="891">
          <cell r="C891" t="str">
            <v/>
          </cell>
        </row>
        <row r="892">
          <cell r="C892" t="str">
            <v/>
          </cell>
        </row>
        <row r="893">
          <cell r="C893" t="str">
            <v/>
          </cell>
        </row>
        <row r="894">
          <cell r="C894" t="str">
            <v/>
          </cell>
        </row>
        <row r="895">
          <cell r="C895" t="str">
            <v/>
          </cell>
        </row>
        <row r="896">
          <cell r="C896" t="str">
            <v/>
          </cell>
        </row>
        <row r="897">
          <cell r="C897" t="str">
            <v/>
          </cell>
        </row>
        <row r="898">
          <cell r="C898" t="str">
            <v/>
          </cell>
        </row>
        <row r="899">
          <cell r="C899" t="str">
            <v/>
          </cell>
        </row>
        <row r="900">
          <cell r="C900" t="str">
            <v/>
          </cell>
        </row>
        <row r="901">
          <cell r="C901" t="str">
            <v/>
          </cell>
        </row>
        <row r="902">
          <cell r="C902" t="str">
            <v/>
          </cell>
        </row>
      </sheetData>
      <sheetData sheetId="17"/>
      <sheetData sheetId="18">
        <row r="2">
          <cell r="D2" t="str">
            <v>Scheduling Coordinator</v>
          </cell>
        </row>
        <row r="3">
          <cell r="D3" t="str">
            <v>Party to a Power Contract</v>
          </cell>
        </row>
        <row r="4">
          <cell r="D4" t="str">
            <v>Retail Provider</v>
          </cell>
        </row>
        <row r="5">
          <cell r="D5" t="str">
            <v>Generation Providing Entity (GPE)</v>
          </cell>
        </row>
        <row r="6">
          <cell r="D6" t="str">
            <v>Transmission Provider</v>
          </cell>
        </row>
        <row r="7">
          <cell r="D7" t="str">
            <v>Other</v>
          </cell>
        </row>
        <row r="20">
          <cell r="F20" t="str">
            <v>Other</v>
          </cell>
        </row>
        <row r="21">
          <cell r="F21" t="str">
            <v>3 Phases Renewables - 3006</v>
          </cell>
        </row>
        <row r="22">
          <cell r="F22" t="str">
            <v>Alameda Municipal Power - 3022</v>
          </cell>
        </row>
        <row r="23">
          <cell r="F23" t="str">
            <v>Anza Electric Cooperative - 104578</v>
          </cell>
        </row>
        <row r="24">
          <cell r="F24" t="str">
            <v>Arizona Electric Power Cooperative - 2098</v>
          </cell>
        </row>
        <row r="25">
          <cell r="F25" t="str">
            <v>Arizona Public Service Company - 104131</v>
          </cell>
        </row>
        <row r="26">
          <cell r="F26" t="str">
            <v>Azusa Light and Water - 3024</v>
          </cell>
        </row>
        <row r="27">
          <cell r="F27" t="str">
            <v>Barclays Capital - 2425</v>
          </cell>
        </row>
        <row r="28">
          <cell r="F28" t="str">
            <v>Bear Valley Electric Service (BVES) - 3000</v>
          </cell>
        </row>
        <row r="29">
          <cell r="F29" t="str">
            <v>Biggs Municipal Utilities - 3026</v>
          </cell>
        </row>
        <row r="30">
          <cell r="F30" t="str">
            <v>BNP Paribas Energy Trading GP - 2017</v>
          </cell>
        </row>
        <row r="31">
          <cell r="F31" t="str">
            <v>Bonneville Power Administration - AO/CS - 4000</v>
          </cell>
        </row>
        <row r="32">
          <cell r="F32" t="str">
            <v>Bonneville Power Administration - Marketer - 2044</v>
          </cell>
        </row>
        <row r="33">
          <cell r="F33" t="str">
            <v>BP Energy Company - 2113</v>
          </cell>
        </row>
        <row r="34">
          <cell r="F34" t="str">
            <v>Brookfield Energy Marketing LP - 104120</v>
          </cell>
        </row>
        <row r="35">
          <cell r="F35" t="str">
            <v>Burbank Water and Power - 3027</v>
          </cell>
        </row>
        <row r="36">
          <cell r="F36" t="str">
            <v>California Department of Water Resources (DWR), State Water Project - 3072</v>
          </cell>
        </row>
        <row r="37">
          <cell r="B37" t="str">
            <v>Alberta</v>
          </cell>
          <cell r="F37" t="str">
            <v>Calpine Corporation - 3010</v>
          </cell>
        </row>
        <row r="38">
          <cell r="B38" t="str">
            <v>Arizona</v>
          </cell>
          <cell r="F38" t="str">
            <v>Cargill Power Markets, LLC - 2214</v>
          </cell>
        </row>
        <row r="39">
          <cell r="B39" t="str">
            <v>Baja</v>
          </cell>
          <cell r="F39" t="str">
            <v>Central Arizona Water Conservation District - CAWCD - 104577</v>
          </cell>
        </row>
        <row r="40">
          <cell r="B40" t="str">
            <v>British Columbia</v>
          </cell>
          <cell r="F40" t="str">
            <v>Citigroup Energy Inc. - 2428</v>
          </cell>
        </row>
        <row r="41">
          <cell r="B41" t="str">
            <v>California</v>
          </cell>
          <cell r="F41" t="str">
            <v>City of Anaheim, Public Utilities Department, Anaheim City Hall West - 3023</v>
          </cell>
        </row>
        <row r="42">
          <cell r="B42" t="str">
            <v>Colorado</v>
          </cell>
          <cell r="F42" t="str">
            <v>City of Banning Electric Department - 3025</v>
          </cell>
        </row>
        <row r="43">
          <cell r="B43" t="str">
            <v>Idaho</v>
          </cell>
          <cell r="F43" t="str">
            <v>City of Cerritos - 3029</v>
          </cell>
        </row>
        <row r="44">
          <cell r="B44" t="str">
            <v>Montana</v>
          </cell>
          <cell r="F44" t="str">
            <v>City of Colton - EPE - 3031</v>
          </cell>
        </row>
        <row r="45">
          <cell r="B45" t="str">
            <v>Nevada</v>
          </cell>
          <cell r="F45" t="str">
            <v>City of Corona Dept. of Water &amp; Power - EPE - 3032</v>
          </cell>
        </row>
        <row r="46">
          <cell r="B46" t="str">
            <v>New Mexico</v>
          </cell>
          <cell r="F46" t="str">
            <v>City of Industry - 3030</v>
          </cell>
        </row>
        <row r="47">
          <cell r="B47" t="str">
            <v>Oregon</v>
          </cell>
          <cell r="F47" t="str">
            <v>City of Lompoc - 3041</v>
          </cell>
        </row>
        <row r="48">
          <cell r="B48" t="str">
            <v>South Dakota</v>
          </cell>
          <cell r="F48" t="str">
            <v>City of Needles - 3047</v>
          </cell>
        </row>
        <row r="49">
          <cell r="B49" t="str">
            <v>Utah</v>
          </cell>
          <cell r="F49" t="str">
            <v>City of Palo Alto - Electric Power Entity - 3048</v>
          </cell>
        </row>
        <row r="50">
          <cell r="B50" t="str">
            <v>Washington</v>
          </cell>
          <cell r="F50" t="str">
            <v>City of Riverside Public Utilities - 3056</v>
          </cell>
        </row>
        <row r="51">
          <cell r="B51" t="str">
            <v>Wyoming</v>
          </cell>
          <cell r="F51" t="str">
            <v>City of Shasta Lake - Electric - 3059</v>
          </cell>
        </row>
        <row r="52">
          <cell r="B52" t="str">
            <v>Other</v>
          </cell>
          <cell r="F52" t="str">
            <v>City of Ukiah, Electric Utilities Division - 3065</v>
          </cell>
        </row>
        <row r="53">
          <cell r="F53" t="str">
            <v>City of Vernon, Vernon Gas &amp; Electric - 3066</v>
          </cell>
        </row>
        <row r="54">
          <cell r="F54" t="str">
            <v>Comision Federal de Electricidad (CFE) - 104570</v>
          </cell>
        </row>
        <row r="55">
          <cell r="F55" t="str">
            <v>Commerce Energy, Inc. - 3011</v>
          </cell>
        </row>
        <row r="56">
          <cell r="F56" t="str">
            <v>Constellation NewEnergy, Inc. - 3012</v>
          </cell>
        </row>
        <row r="57">
          <cell r="F57" t="str">
            <v>CP Energy Marketing (US) Inc. (Capital Power) - 3102</v>
          </cell>
        </row>
        <row r="58">
          <cell r="F58" t="str">
            <v>DB Energy Trading LLC - 2231</v>
          </cell>
        </row>
        <row r="59">
          <cell r="F59" t="str">
            <v>Direct Energy Business, LLC (fka Strategic Energy) - 2264</v>
          </cell>
        </row>
        <row r="60">
          <cell r="F60" t="str">
            <v>Eastside Power Authority - 3033</v>
          </cell>
        </row>
        <row r="61">
          <cell r="F61" t="str">
            <v>EDF Industrial Power Services (CA), LLC - 104452</v>
          </cell>
        </row>
        <row r="62">
          <cell r="F62" t="str">
            <v>EDF Trading North America, LLC - 104067</v>
          </cell>
        </row>
        <row r="63">
          <cell r="F63" t="str">
            <v>Exelon Generation Company, LLC - 2078</v>
          </cell>
        </row>
        <row r="64">
          <cell r="F64" t="str">
            <v>Gexa Energy California, LLC - 104507</v>
          </cell>
        </row>
        <row r="65">
          <cell r="F65" t="str">
            <v>Gila River - Entegra Power Group - 104119</v>
          </cell>
        </row>
        <row r="66">
          <cell r="F66" t="str">
            <v>Glendale Water &amp; Power - 3034</v>
          </cell>
        </row>
        <row r="67">
          <cell r="F67" t="str">
            <v>Gridley Electric Utility - 3035</v>
          </cell>
        </row>
        <row r="68">
          <cell r="F68" t="str">
            <v>Guzman Power Markets 2014+ - 104473</v>
          </cell>
        </row>
        <row r="69">
          <cell r="F69" t="str">
            <v>Healdsburg Electric Dept. - 3036</v>
          </cell>
        </row>
        <row r="70">
          <cell r="F70" t="str">
            <v>Iberdrola Renewables - 2292</v>
          </cell>
        </row>
        <row r="71">
          <cell r="F71" t="str">
            <v>Imperial Irrigation District (IID) - 3038</v>
          </cell>
        </row>
        <row r="72">
          <cell r="F72" t="str">
            <v>J. Aron &amp; Company - 104335</v>
          </cell>
        </row>
        <row r="73">
          <cell r="F73" t="str">
            <v>J.P. Morgan Ventures Energy Corporation - 3077</v>
          </cell>
        </row>
        <row r="74">
          <cell r="F74" t="str">
            <v>Kirkwood Meadows PUD Powerhouse - 3001</v>
          </cell>
        </row>
        <row r="75">
          <cell r="F75" t="str">
            <v>La Rosita Power - Marketing - 104211</v>
          </cell>
        </row>
        <row r="76">
          <cell r="F76" t="str">
            <v>Lassen Municipal Utility District - 3039</v>
          </cell>
        </row>
        <row r="77">
          <cell r="F77" t="str">
            <v>Liberty Power Corporation - 104451</v>
          </cell>
        </row>
        <row r="78">
          <cell r="F78" t="str">
            <v>Liberty Utilities (CalPeco Electric) LLC - 104099</v>
          </cell>
        </row>
        <row r="79">
          <cell r="F79" t="str">
            <v>Lodi Electric Utility - 3040</v>
          </cell>
        </row>
        <row r="80">
          <cell r="F80" t="str">
            <v>Los Angeles Department of Water &amp; Power (LADWP) - 3042</v>
          </cell>
        </row>
        <row r="81">
          <cell r="F81" t="str">
            <v>Macquarie Energy LLC - 2112</v>
          </cell>
        </row>
        <row r="82">
          <cell r="F82" t="str">
            <v>MAG Energy Solutions, Inc. - 104573</v>
          </cell>
        </row>
        <row r="83">
          <cell r="F83" t="str">
            <v>Marin Clean Energy - 104463</v>
          </cell>
        </row>
        <row r="84">
          <cell r="F84" t="str">
            <v>Merced Irrigation District (MeID) - 3044</v>
          </cell>
        </row>
        <row r="85">
          <cell r="F85" t="str">
            <v>Merrill Lynch Commodities, Inc. - 2027</v>
          </cell>
        </row>
        <row r="86">
          <cell r="F86" t="str">
            <v>Metropolitan Water District of Southern California (MWD) - 2046</v>
          </cell>
        </row>
        <row r="87">
          <cell r="F87" t="str">
            <v>Modesto Irrigation District (MID) - 3045</v>
          </cell>
        </row>
        <row r="88">
          <cell r="F88" t="str">
            <v>Moreno Valley Utility (MVU) - 3046</v>
          </cell>
        </row>
        <row r="89">
          <cell r="F89" t="str">
            <v>Morgan Stanley Capital Group Inc. - EPE - 2369</v>
          </cell>
        </row>
        <row r="90">
          <cell r="F90" t="str">
            <v>Nevada Power Company (dba NV Energy) - 2388</v>
          </cell>
        </row>
        <row r="91">
          <cell r="F91" t="str">
            <v>Nextera Energy Power Marketing, LLC - 104225</v>
          </cell>
        </row>
        <row r="92">
          <cell r="F92" t="str">
            <v>Noble Americas Energy Solutions LLC - 3018</v>
          </cell>
        </row>
        <row r="93">
          <cell r="F93" t="str">
            <v>Noble Americas Gas &amp; Power Corporation - 2500</v>
          </cell>
        </row>
        <row r="94">
          <cell r="F94" t="str">
            <v>Northern California Power Agency (NCPA) - 2215</v>
          </cell>
        </row>
        <row r="95">
          <cell r="F95" t="str">
            <v>Pacific Gas and Electric Company (PG&amp;E) - Electric Power Entity - 3002</v>
          </cell>
        </row>
        <row r="96">
          <cell r="F96" t="str">
            <v>PacifiCorp - 3003</v>
          </cell>
        </row>
        <row r="97">
          <cell r="F97" t="str">
            <v>Pasadena Water and Power, 91101 - 3049</v>
          </cell>
        </row>
        <row r="98">
          <cell r="F98" t="str">
            <v>Pilot Power Group, Inc. - 3016</v>
          </cell>
        </row>
        <row r="99">
          <cell r="F99" t="str">
            <v>Pittsburg Power Company dba Island Energy - EPE - 5024</v>
          </cell>
        </row>
        <row r="100">
          <cell r="F100" t="str">
            <v>Plumas-Sierra REC - 3100</v>
          </cell>
        </row>
        <row r="101">
          <cell r="F101" t="str">
            <v>Port of Oakland - 3051</v>
          </cell>
        </row>
        <row r="102">
          <cell r="F102" t="str">
            <v>Port of Stockton, 95203 - 3052</v>
          </cell>
        </row>
        <row r="103">
          <cell r="F103" t="str">
            <v>Portland General Electric Company - 2127</v>
          </cell>
        </row>
        <row r="104">
          <cell r="F104" t="str">
            <v>Power and Water Resources Pooling Authority (PWRPA) - 3053</v>
          </cell>
        </row>
        <row r="105">
          <cell r="F105" t="str">
            <v>Powerex Corp - AO/CS - 3101</v>
          </cell>
        </row>
        <row r="106">
          <cell r="F106" t="str">
            <v>Powerex Corp. - Marketer - 2243</v>
          </cell>
        </row>
        <row r="107">
          <cell r="F107" t="str">
            <v>Puget Sound Energy - 104462</v>
          </cell>
        </row>
        <row r="108">
          <cell r="F108" t="str">
            <v>Rainbow Energy Marketing Corporation (REMC) - 104203</v>
          </cell>
        </row>
        <row r="109">
          <cell r="F109" t="str">
            <v>Rancho Cucamonga Municipal Utility - 3054</v>
          </cell>
        </row>
        <row r="110">
          <cell r="F110" t="str">
            <v>Redding Electric Utility - 3055</v>
          </cell>
        </row>
        <row r="111">
          <cell r="F111" t="str">
            <v>Roseville Electric - 3057</v>
          </cell>
        </row>
        <row r="112">
          <cell r="F112" t="str">
            <v>Sacramento Municipal Utility District (SMUD) - Electric Power Entity - 3058</v>
          </cell>
        </row>
        <row r="113">
          <cell r="F113" t="str">
            <v>Salt River Project - 104461</v>
          </cell>
        </row>
        <row r="114">
          <cell r="F114" t="str">
            <v>San Diego Gas &amp; Electric (SDG&amp;E) - Electric Power Entity - 3004</v>
          </cell>
        </row>
        <row r="115">
          <cell r="F115" t="str">
            <v>San Francisco Hetch Hetchy Water and Power, CCSF - 3028</v>
          </cell>
        </row>
        <row r="116">
          <cell r="F116" t="str">
            <v>Sempra Generation - 2060</v>
          </cell>
        </row>
        <row r="117">
          <cell r="F117" t="str">
            <v>Shell Energy North America (US), L.P. - 3081</v>
          </cell>
        </row>
        <row r="118">
          <cell r="F118" t="str">
            <v>Sierra Pacific Power Company (dba NV Energy) - Marketer - 2438</v>
          </cell>
        </row>
        <row r="119">
          <cell r="F119" t="str">
            <v>Silicon Valley Power (SVP), City of Santa Clara - 3061</v>
          </cell>
        </row>
        <row r="120">
          <cell r="F120" t="str">
            <v>Sonoma Clean Power (SCP) - 104537</v>
          </cell>
        </row>
        <row r="121">
          <cell r="F121" t="str">
            <v>Southern California Edison (SCE) - Electric Power Entity - 3005</v>
          </cell>
        </row>
        <row r="122">
          <cell r="F122" t="str">
            <v>Surprise Valley Electrification Corp. - 104579</v>
          </cell>
        </row>
        <row r="123">
          <cell r="F123" t="str">
            <v>Tenaska Power Services Co. - 104194</v>
          </cell>
        </row>
        <row r="124">
          <cell r="F124" t="str">
            <v>Terra-Gen Dixie Valley, LLC - 2427</v>
          </cell>
        </row>
        <row r="125">
          <cell r="F125" t="str">
            <v>The Energy Authority, Inc. - 2278</v>
          </cell>
        </row>
        <row r="126">
          <cell r="F126" t="str">
            <v>Tiger Natural Gas , Inc. - 5047</v>
          </cell>
        </row>
        <row r="127">
          <cell r="F127" t="str">
            <v>TransAlta Energy Marketing (US), Inc. - 2312</v>
          </cell>
        </row>
        <row r="128">
          <cell r="F128" t="str">
            <v>TransCanada Energy Sales Ltd. - 104230</v>
          </cell>
        </row>
        <row r="129">
          <cell r="F129" t="str">
            <v>Truckee Donner Public Utilities District - 3063</v>
          </cell>
        </row>
        <row r="130">
          <cell r="F130" t="str">
            <v>Turlock Irrigation District (TID) - 3064</v>
          </cell>
        </row>
        <row r="131">
          <cell r="F131" t="str">
            <v>Twin Eagle Resource Management, LLC - 104515</v>
          </cell>
        </row>
        <row r="132">
          <cell r="F132" t="str">
            <v>University of California, Office of the President - EPE - 104518</v>
          </cell>
        </row>
        <row r="133">
          <cell r="F133" t="str">
            <v>Valley Electric Association - 104510</v>
          </cell>
        </row>
        <row r="134">
          <cell r="F134" t="str">
            <v>Victorville Municipal Utility Services - 3067</v>
          </cell>
        </row>
        <row r="135">
          <cell r="F135" t="str">
            <v>Vitol Inc. - EPE - 104467</v>
          </cell>
        </row>
        <row r="136">
          <cell r="F136" t="str">
            <v>WAPA - Desert Southwest Region - 3078</v>
          </cell>
        </row>
        <row r="137">
          <cell r="F137" t="str">
            <v>WAPA - Sierra Nevada Region - 3079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Version"/>
      <sheetName val="Guidance "/>
      <sheetName val="Data Export XML"/>
      <sheetName val="Reporter Info"/>
      <sheetName val="COVERED EM CALC"/>
      <sheetName val="Retail Provider"/>
      <sheetName val="Unspec Imports"/>
      <sheetName val="Spec Imports"/>
      <sheetName val="RPS Adjust"/>
      <sheetName val="REC Serial"/>
      <sheetName val="QE Adjust"/>
      <sheetName val="Unspec Exports"/>
      <sheetName val="Spec Exports"/>
      <sheetName val="Wheeled"/>
      <sheetName val="Facility Reg Info"/>
      <sheetName val="POR.POD"/>
      <sheetName val="2013 EFs"/>
      <sheetName val="Other 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AB.BC</v>
          </cell>
        </row>
        <row r="3">
          <cell r="A3" t="str">
            <v>AB.MT.MATL</v>
          </cell>
        </row>
        <row r="4">
          <cell r="A4" t="str">
            <v>AB.SK.MC</v>
          </cell>
        </row>
        <row r="5">
          <cell r="A5" t="str">
            <v>AB.system</v>
          </cell>
        </row>
        <row r="6">
          <cell r="A6" t="str">
            <v>ABITIBI69</v>
          </cell>
        </row>
        <row r="7">
          <cell r="A7" t="str">
            <v>ABQ</v>
          </cell>
        </row>
        <row r="8">
          <cell r="A8" t="str">
            <v>ADAMS115</v>
          </cell>
        </row>
        <row r="9">
          <cell r="A9" t="str">
            <v>ADL</v>
          </cell>
        </row>
        <row r="10">
          <cell r="A10" t="str">
            <v>AFTON345</v>
          </cell>
        </row>
        <row r="11">
          <cell r="A11" t="str">
            <v>AFTS</v>
          </cell>
        </row>
        <row r="12">
          <cell r="A12" t="str">
            <v>AIR230</v>
          </cell>
        </row>
        <row r="13">
          <cell r="A13" t="str">
            <v>AIRPORT115</v>
          </cell>
        </row>
        <row r="14">
          <cell r="A14" t="str">
            <v>AIRWAY</v>
          </cell>
        </row>
        <row r="15">
          <cell r="A15" t="str">
            <v>ALAMOGORDO115</v>
          </cell>
        </row>
        <row r="16">
          <cell r="A16" t="str">
            <v>ALAMOGRDO115</v>
          </cell>
        </row>
        <row r="17">
          <cell r="A17" t="str">
            <v>Albany12Pac</v>
          </cell>
        </row>
        <row r="18">
          <cell r="A18" t="str">
            <v>ALCOAIntalco</v>
          </cell>
        </row>
        <row r="19">
          <cell r="A19" t="str">
            <v>ALCOATroutdl</v>
          </cell>
        </row>
        <row r="20">
          <cell r="A20" t="str">
            <v>ALCOAWenatch</v>
          </cell>
        </row>
        <row r="21">
          <cell r="A21" t="str">
            <v>ALEXANDER230</v>
          </cell>
        </row>
        <row r="22">
          <cell r="A22" t="str">
            <v>ALGO</v>
          </cell>
        </row>
        <row r="23">
          <cell r="A23" t="str">
            <v>ALIQUIDE449</v>
          </cell>
        </row>
        <row r="24">
          <cell r="A24" t="str">
            <v>Allston</v>
          </cell>
        </row>
        <row r="25">
          <cell r="A25" t="str">
            <v>AMBROSIA230</v>
          </cell>
        </row>
        <row r="26">
          <cell r="A26" t="str">
            <v>AMES</v>
          </cell>
        </row>
        <row r="27">
          <cell r="A27" t="str">
            <v>AMRAD115</v>
          </cell>
        </row>
        <row r="28">
          <cell r="A28" t="str">
            <v>AMRAD345</v>
          </cell>
        </row>
        <row r="29">
          <cell r="A29" t="str">
            <v>ANDK</v>
          </cell>
        </row>
        <row r="30">
          <cell r="A30" t="str">
            <v>ANTE</v>
          </cell>
        </row>
        <row r="31">
          <cell r="A31" t="str">
            <v>ANTELOPE</v>
          </cell>
        </row>
        <row r="32">
          <cell r="A32" t="str">
            <v>APACHE115</v>
          </cell>
        </row>
        <row r="33">
          <cell r="A33" t="str">
            <v>APACHE230</v>
          </cell>
        </row>
        <row r="34">
          <cell r="A34" t="str">
            <v>APRODUCTS449</v>
          </cell>
        </row>
        <row r="35">
          <cell r="A35" t="str">
            <v>ARH</v>
          </cell>
        </row>
        <row r="36">
          <cell r="A36" t="str">
            <v>ArlngtnWind</v>
          </cell>
        </row>
        <row r="37">
          <cell r="A37" t="str">
            <v>ArlngtnWinLD</v>
          </cell>
        </row>
        <row r="38">
          <cell r="A38" t="str">
            <v>ARTESIA345</v>
          </cell>
        </row>
        <row r="39">
          <cell r="A39" t="str">
            <v>ATL</v>
          </cell>
        </row>
        <row r="40">
          <cell r="A40" t="str">
            <v>Atofina</v>
          </cell>
        </row>
        <row r="41">
          <cell r="A41" t="str">
            <v>AU</v>
          </cell>
        </row>
        <row r="42">
          <cell r="A42" t="str">
            <v>AU115</v>
          </cell>
        </row>
        <row r="43">
          <cell r="A43" t="str">
            <v>AVA.BPAT</v>
          </cell>
        </row>
        <row r="44">
          <cell r="A44" t="str">
            <v>AVA.SYS</v>
          </cell>
        </row>
        <row r="45">
          <cell r="A45" t="str">
            <v>AVAPUD</v>
          </cell>
        </row>
        <row r="46">
          <cell r="A46" t="str">
            <v>AVAREMOTELD</v>
          </cell>
        </row>
        <row r="47">
          <cell r="A47" t="str">
            <v>AVAT.NWMT</v>
          </cell>
        </row>
        <row r="48">
          <cell r="A48" t="str">
            <v>AXBA</v>
          </cell>
        </row>
        <row r="49">
          <cell r="A49" t="str">
            <v>BANC.System</v>
          </cell>
        </row>
        <row r="50">
          <cell r="A50" t="str">
            <v>BANCSYS</v>
          </cell>
        </row>
        <row r="51">
          <cell r="A51" t="str">
            <v>BandonPac</v>
          </cell>
        </row>
        <row r="52">
          <cell r="A52" t="str">
            <v>BANNACK</v>
          </cell>
        </row>
        <row r="53">
          <cell r="A53" t="str">
            <v>BARR</v>
          </cell>
        </row>
        <row r="54">
          <cell r="A54" t="str">
            <v>BC.US.BORDER</v>
          </cell>
        </row>
        <row r="55">
          <cell r="A55" t="str">
            <v>BCHA.INT.SYS</v>
          </cell>
        </row>
        <row r="56">
          <cell r="A56" t="str">
            <v>BCHA.INTERNL</v>
          </cell>
        </row>
        <row r="57">
          <cell r="A57" t="str">
            <v>BCHA.LM.SYS</v>
          </cell>
        </row>
        <row r="58">
          <cell r="A58" t="str">
            <v>BCHA.LOSSES</v>
          </cell>
        </row>
        <row r="59">
          <cell r="A59" t="str">
            <v>BCHA.NTWK.LD</v>
          </cell>
        </row>
        <row r="60">
          <cell r="A60" t="str">
            <v>BCHA.SEL.LD</v>
          </cell>
        </row>
        <row r="61">
          <cell r="A61" t="str">
            <v>BCS.ORCH449</v>
          </cell>
        </row>
        <row r="62">
          <cell r="A62" t="str">
            <v>BCS.ROED449</v>
          </cell>
        </row>
        <row r="63">
          <cell r="A63" t="str">
            <v>BCSYS</v>
          </cell>
        </row>
        <row r="64">
          <cell r="A64" t="str">
            <v>BEAST</v>
          </cell>
        </row>
        <row r="65">
          <cell r="A65" t="str">
            <v>BELN</v>
          </cell>
        </row>
        <row r="66">
          <cell r="A66" t="str">
            <v>Benton</v>
          </cell>
        </row>
        <row r="67">
          <cell r="A67" t="str">
            <v>BentonREA</v>
          </cell>
        </row>
        <row r="68">
          <cell r="A68" t="str">
            <v>BERGIN115</v>
          </cell>
        </row>
        <row r="69">
          <cell r="A69" t="str">
            <v>Bethel</v>
          </cell>
        </row>
        <row r="70">
          <cell r="A70" t="str">
            <v>BeverlyPark</v>
          </cell>
        </row>
        <row r="71">
          <cell r="A71" t="str">
            <v>BHCE</v>
          </cell>
        </row>
        <row r="72">
          <cell r="A72" t="str">
            <v>BICKNELL230</v>
          </cell>
        </row>
        <row r="73">
          <cell r="A73" t="str">
            <v>BIGBEND</v>
          </cell>
        </row>
        <row r="74">
          <cell r="A74" t="str">
            <v>BigEddy</v>
          </cell>
        </row>
        <row r="75">
          <cell r="A75" t="str">
            <v>BigFork</v>
          </cell>
        </row>
        <row r="76">
          <cell r="A76" t="str">
            <v>BigHorn2</v>
          </cell>
        </row>
        <row r="77">
          <cell r="A77" t="str">
            <v>Biglow</v>
          </cell>
        </row>
        <row r="78">
          <cell r="A78" t="str">
            <v>BiglowLD</v>
          </cell>
        </row>
        <row r="79">
          <cell r="A79" t="str">
            <v>BKB</v>
          </cell>
        </row>
        <row r="80">
          <cell r="A80" t="str">
            <v>BLACKMESA230</v>
          </cell>
        </row>
        <row r="81">
          <cell r="A81" t="str">
            <v>BLAINE</v>
          </cell>
        </row>
        <row r="82">
          <cell r="A82" t="str">
            <v>BLLK</v>
          </cell>
        </row>
        <row r="83">
          <cell r="A83" t="str">
            <v>BLUE</v>
          </cell>
        </row>
        <row r="84">
          <cell r="A84" t="str">
            <v>BLY1_KNB1</v>
          </cell>
        </row>
        <row r="85">
          <cell r="A85" t="str">
            <v>BLY2_KNB2</v>
          </cell>
        </row>
        <row r="86">
          <cell r="A86" t="str">
            <v>BLYTHE161</v>
          </cell>
        </row>
        <row r="87">
          <cell r="A87" t="str">
            <v>BMGS</v>
          </cell>
        </row>
        <row r="88">
          <cell r="A88" t="str">
            <v>BMPR</v>
          </cell>
        </row>
        <row r="89">
          <cell r="A89" t="str">
            <v>Boardman</v>
          </cell>
        </row>
        <row r="90">
          <cell r="A90" t="str">
            <v>Boardman115</v>
          </cell>
        </row>
        <row r="91">
          <cell r="A91" t="str">
            <v>BODO</v>
          </cell>
        </row>
        <row r="92">
          <cell r="A92" t="str">
            <v>BOEING449</v>
          </cell>
        </row>
        <row r="93">
          <cell r="A93" t="str">
            <v>BONNEYBRO115</v>
          </cell>
        </row>
        <row r="94">
          <cell r="A94" t="str">
            <v>BOON</v>
          </cell>
        </row>
        <row r="95">
          <cell r="A95" t="str">
            <v>BORA</v>
          </cell>
        </row>
        <row r="96">
          <cell r="A96" t="str">
            <v>Boundary</v>
          </cell>
        </row>
        <row r="97">
          <cell r="A97" t="str">
            <v>BOYD</v>
          </cell>
        </row>
        <row r="98">
          <cell r="A98" t="str">
            <v>BOZ</v>
          </cell>
        </row>
        <row r="99">
          <cell r="A99" t="str">
            <v>BPAGEN</v>
          </cell>
        </row>
        <row r="100">
          <cell r="A100" t="str">
            <v>BPAPower</v>
          </cell>
        </row>
        <row r="101">
          <cell r="A101" t="str">
            <v>BPAPUNSCHD</v>
          </cell>
        </row>
        <row r="102">
          <cell r="A102" t="str">
            <v>BPASID</v>
          </cell>
        </row>
        <row r="103">
          <cell r="A103" t="str">
            <v>BPAT.CHPD</v>
          </cell>
        </row>
        <row r="104">
          <cell r="A104" t="str">
            <v>BPAT.DOPD</v>
          </cell>
        </row>
        <row r="105">
          <cell r="A105" t="str">
            <v>BPAT.GCPD</v>
          </cell>
        </row>
        <row r="106">
          <cell r="A106" t="str">
            <v>BPAT.NWMT</v>
          </cell>
        </row>
        <row r="107">
          <cell r="A107" t="str">
            <v>BPAT.PACW</v>
          </cell>
        </row>
        <row r="108">
          <cell r="A108" t="str">
            <v>BPAT.PGE</v>
          </cell>
        </row>
        <row r="109">
          <cell r="A109" t="str">
            <v>BPAT.PSEI</v>
          </cell>
        </row>
        <row r="110">
          <cell r="A110" t="str">
            <v>BPAT.SCL</v>
          </cell>
        </row>
        <row r="111">
          <cell r="A111" t="str">
            <v>BPAT.TPU</v>
          </cell>
        </row>
        <row r="112">
          <cell r="A112" t="str">
            <v>BPAT_Test</v>
          </cell>
        </row>
        <row r="113">
          <cell r="A113" t="str">
            <v>BPAT-CA-DEFAULT</v>
          </cell>
        </row>
        <row r="114">
          <cell r="A114" t="str">
            <v>BPATPUD</v>
          </cell>
        </row>
        <row r="115">
          <cell r="A115" t="str">
            <v>BPATRes</v>
          </cell>
        </row>
        <row r="116">
          <cell r="A116" t="str">
            <v>BPCherryPt</v>
          </cell>
        </row>
        <row r="117">
          <cell r="A117" t="str">
            <v>BPREFINRY449</v>
          </cell>
        </row>
        <row r="118">
          <cell r="A118" t="str">
            <v>BRAW1</v>
          </cell>
        </row>
        <row r="119">
          <cell r="A119" t="str">
            <v>BRDY</v>
          </cell>
        </row>
        <row r="120">
          <cell r="A120" t="str">
            <v>BROADVIEW</v>
          </cell>
        </row>
        <row r="121">
          <cell r="A121" t="str">
            <v>BRSS</v>
          </cell>
        </row>
        <row r="122">
          <cell r="A122" t="str">
            <v>BRVD</v>
          </cell>
        </row>
        <row r="123">
          <cell r="A123" t="str">
            <v>BSAN</v>
          </cell>
        </row>
        <row r="124">
          <cell r="A124" t="str">
            <v>BTHD</v>
          </cell>
        </row>
        <row r="125">
          <cell r="A125" t="str">
            <v>BUCKEYE230</v>
          </cell>
        </row>
        <row r="126">
          <cell r="A126" t="str">
            <v>BURBSYSTEM</v>
          </cell>
        </row>
        <row r="127">
          <cell r="A127" t="str">
            <v>BURL</v>
          </cell>
        </row>
        <row r="128">
          <cell r="A128" t="str">
            <v>BW230</v>
          </cell>
        </row>
        <row r="129">
          <cell r="A129" t="str">
            <v>BWAT</v>
          </cell>
        </row>
        <row r="130">
          <cell r="A130" t="str">
            <v>CABA</v>
          </cell>
        </row>
        <row r="131">
          <cell r="A131" t="str">
            <v>CALRIDGE</v>
          </cell>
        </row>
        <row r="132">
          <cell r="A132" t="str">
            <v>CANYONFERRY</v>
          </cell>
        </row>
        <row r="133">
          <cell r="A133" t="str">
            <v>CaptainJack</v>
          </cell>
        </row>
        <row r="134">
          <cell r="A134" t="str">
            <v>CARRDRAW</v>
          </cell>
        </row>
        <row r="135">
          <cell r="A135" t="str">
            <v>CASCADE</v>
          </cell>
        </row>
        <row r="136">
          <cell r="A136" t="str">
            <v>CCI</v>
          </cell>
        </row>
        <row r="137">
          <cell r="A137" t="str">
            <v>CCSF.SYSTEM</v>
          </cell>
        </row>
        <row r="138">
          <cell r="A138" t="str">
            <v>CCW</v>
          </cell>
        </row>
        <row r="139">
          <cell r="A139" t="str">
            <v>CDEL</v>
          </cell>
        </row>
        <row r="140">
          <cell r="A140" t="str">
            <v>CEDAR</v>
          </cell>
        </row>
        <row r="141">
          <cell r="A141" t="str">
            <v>CEDARFALLGEN</v>
          </cell>
        </row>
        <row r="142">
          <cell r="A142" t="str">
            <v>CEDARMTN500</v>
          </cell>
        </row>
        <row r="143">
          <cell r="A143" t="str">
            <v>Central</v>
          </cell>
        </row>
        <row r="144">
          <cell r="A144" t="str">
            <v>Centralia</v>
          </cell>
        </row>
        <row r="145">
          <cell r="A145" t="str">
            <v>CentraliaBR</v>
          </cell>
        </row>
        <row r="146">
          <cell r="A146" t="str">
            <v>CENTRALIACTY</v>
          </cell>
        </row>
        <row r="147">
          <cell r="A147" t="str">
            <v>CentraliaLD</v>
          </cell>
        </row>
        <row r="148">
          <cell r="A148" t="str">
            <v>CENTRALLINCN</v>
          </cell>
        </row>
        <row r="149">
          <cell r="A149" t="str">
            <v>CFEROA</v>
          </cell>
        </row>
        <row r="150">
          <cell r="A150" t="str">
            <v>CFETIJ</v>
          </cell>
        </row>
        <row r="151">
          <cell r="A151" t="str">
            <v>CGUL</v>
          </cell>
        </row>
        <row r="152">
          <cell r="A152" t="str">
            <v>CHAR</v>
          </cell>
        </row>
        <row r="153">
          <cell r="A153" t="str">
            <v>ChehalisPrLD</v>
          </cell>
        </row>
        <row r="154">
          <cell r="A154" t="str">
            <v>ChehalisPwr</v>
          </cell>
        </row>
        <row r="155">
          <cell r="A155" t="str">
            <v>CHELAN.AVA</v>
          </cell>
        </row>
        <row r="156">
          <cell r="A156" t="str">
            <v>CHOLLA230</v>
          </cell>
        </row>
        <row r="157">
          <cell r="A157" t="str">
            <v>CHOLLA345</v>
          </cell>
        </row>
        <row r="158">
          <cell r="A158" t="str">
            <v>CHOLLA500</v>
          </cell>
        </row>
        <row r="159">
          <cell r="A159" t="str">
            <v>CHOLLA69</v>
          </cell>
        </row>
        <row r="160">
          <cell r="A160" t="str">
            <v>CHPD</v>
          </cell>
        </row>
        <row r="161">
          <cell r="A161" t="str">
            <v>Clallam</v>
          </cell>
        </row>
        <row r="162">
          <cell r="A162" t="str">
            <v>CLAP</v>
          </cell>
        </row>
        <row r="163">
          <cell r="A163" t="str">
            <v>Clark</v>
          </cell>
        </row>
        <row r="164">
          <cell r="A164" t="str">
            <v>Clatskanie</v>
          </cell>
        </row>
        <row r="165">
          <cell r="A165" t="str">
            <v>CLAY</v>
          </cell>
        </row>
        <row r="166">
          <cell r="A166" t="str">
            <v>CLGN</v>
          </cell>
        </row>
        <row r="167">
          <cell r="A167" t="str">
            <v>CLYMER</v>
          </cell>
        </row>
        <row r="168">
          <cell r="A168" t="str">
            <v>COACH2</v>
          </cell>
        </row>
        <row r="169">
          <cell r="A169" t="str">
            <v>COBH</v>
          </cell>
        </row>
        <row r="170">
          <cell r="A170" t="str">
            <v>CoffinButte2</v>
          </cell>
        </row>
        <row r="171">
          <cell r="A171" t="str">
            <v>CO-GREEN</v>
          </cell>
        </row>
        <row r="172">
          <cell r="A172" t="str">
            <v>COL</v>
          </cell>
        </row>
        <row r="173">
          <cell r="A173" t="str">
            <v>ColFallsAlum</v>
          </cell>
        </row>
        <row r="174">
          <cell r="A174" t="str">
            <v>COLL</v>
          </cell>
        </row>
        <row r="175">
          <cell r="A175" t="str">
            <v>ColRidge</v>
          </cell>
        </row>
        <row r="176">
          <cell r="A176" t="str">
            <v>COLSTRIP</v>
          </cell>
        </row>
        <row r="177">
          <cell r="A177" t="str">
            <v>Columbia230</v>
          </cell>
        </row>
        <row r="178">
          <cell r="A178" t="str">
            <v>COLUMBIAREA</v>
          </cell>
        </row>
        <row r="179">
          <cell r="A179" t="str">
            <v>COMA</v>
          </cell>
        </row>
        <row r="180">
          <cell r="A180" t="str">
            <v>COMBINEHILLS</v>
          </cell>
        </row>
        <row r="181">
          <cell r="A181" t="str">
            <v>CondonWind</v>
          </cell>
        </row>
        <row r="182">
          <cell r="A182" t="str">
            <v>CONT.NW449</v>
          </cell>
        </row>
        <row r="183">
          <cell r="A183" t="str">
            <v>COOLIDGE</v>
          </cell>
        </row>
        <row r="184">
          <cell r="A184" t="str">
            <v>COOSPAC</v>
          </cell>
        </row>
        <row r="185">
          <cell r="A185" t="str">
            <v>COPPER230</v>
          </cell>
        </row>
        <row r="186">
          <cell r="A186" t="str">
            <v>CORONADO500</v>
          </cell>
        </row>
        <row r="187">
          <cell r="A187" t="str">
            <v>CORONADO69</v>
          </cell>
        </row>
        <row r="188">
          <cell r="A188" t="str">
            <v>Cowlitz</v>
          </cell>
        </row>
        <row r="189">
          <cell r="A189" t="str">
            <v>COYOTE115</v>
          </cell>
        </row>
        <row r="190">
          <cell r="A190" t="str">
            <v>CoyoteSprng1</v>
          </cell>
        </row>
        <row r="191">
          <cell r="A191" t="str">
            <v>CoyoteSprng2</v>
          </cell>
        </row>
        <row r="192">
          <cell r="A192" t="str">
            <v>COYSPR</v>
          </cell>
        </row>
        <row r="193">
          <cell r="A193" t="str">
            <v>CRAG</v>
          </cell>
        </row>
        <row r="194">
          <cell r="A194" t="str">
            <v>CRCSYS</v>
          </cell>
        </row>
        <row r="195">
          <cell r="A195" t="str">
            <v>CRG</v>
          </cell>
        </row>
        <row r="196">
          <cell r="A196" t="str">
            <v>CRGBUS5</v>
          </cell>
        </row>
        <row r="197">
          <cell r="A197" t="str">
            <v>Crossover</v>
          </cell>
        </row>
        <row r="198">
          <cell r="A198" t="str">
            <v>CRYSTAL500</v>
          </cell>
        </row>
        <row r="199">
          <cell r="A199" t="str">
            <v>CSPPGEN</v>
          </cell>
        </row>
        <row r="200">
          <cell r="A200" t="str">
            <v>CSUSYSTEM</v>
          </cell>
        </row>
        <row r="201">
          <cell r="A201" t="str">
            <v>CTW230</v>
          </cell>
        </row>
        <row r="202">
          <cell r="A202" t="str">
            <v>CVPGen</v>
          </cell>
        </row>
        <row r="203">
          <cell r="A203" t="str">
            <v>DALREED</v>
          </cell>
        </row>
        <row r="204">
          <cell r="A204" t="str">
            <v>DAVIS230</v>
          </cell>
        </row>
        <row r="205">
          <cell r="A205" t="str">
            <v>DEAA</v>
          </cell>
        </row>
        <row r="206">
          <cell r="A206" t="str">
            <v>DEER_CREEK</v>
          </cell>
        </row>
        <row r="207">
          <cell r="A207" t="str">
            <v>DELTA</v>
          </cell>
        </row>
        <row r="208">
          <cell r="A208" t="str">
            <v>DeMoss</v>
          </cell>
        </row>
        <row r="209">
          <cell r="A209" t="str">
            <v>DemossPac</v>
          </cell>
        </row>
        <row r="210">
          <cell r="A210" t="str">
            <v>DESERTBASIN</v>
          </cell>
        </row>
        <row r="211">
          <cell r="A211" t="str">
            <v>DESPWR</v>
          </cell>
        </row>
        <row r="212">
          <cell r="A212" t="str">
            <v>DEVERS230</v>
          </cell>
        </row>
        <row r="213">
          <cell r="A213" t="str">
            <v>DEVERS500</v>
          </cell>
        </row>
        <row r="214">
          <cell r="A214" t="str">
            <v>DISCBAY</v>
          </cell>
        </row>
        <row r="215">
          <cell r="A215" t="str">
            <v>DJ</v>
          </cell>
        </row>
        <row r="216">
          <cell r="A216" t="str">
            <v>DONAANA115</v>
          </cell>
        </row>
        <row r="217">
          <cell r="A217" t="str">
            <v>DOPD.CHPD</v>
          </cell>
        </row>
        <row r="218">
          <cell r="A218" t="str">
            <v>DOSCONDAD230</v>
          </cell>
        </row>
        <row r="219">
          <cell r="A219" t="str">
            <v>DRNCH</v>
          </cell>
        </row>
        <row r="220">
          <cell r="A220" t="str">
            <v>DRYCREEK</v>
          </cell>
        </row>
        <row r="221">
          <cell r="A221" t="str">
            <v>DRYFORK</v>
          </cell>
        </row>
        <row r="222">
          <cell r="A222" t="str">
            <v>DRYLAKEEAST</v>
          </cell>
        </row>
        <row r="223">
          <cell r="A223" t="str">
            <v>DRYLAKEWEST</v>
          </cell>
        </row>
        <row r="224">
          <cell r="A224" t="str">
            <v>DS2</v>
          </cell>
        </row>
        <row r="225">
          <cell r="A225" t="str">
            <v>DURA</v>
          </cell>
        </row>
        <row r="226">
          <cell r="A226" t="str">
            <v>EAST</v>
          </cell>
        </row>
        <row r="227">
          <cell r="A227" t="str">
            <v>EASTGEN</v>
          </cell>
        </row>
        <row r="228">
          <cell r="A228" t="str">
            <v>ECSS</v>
          </cell>
        </row>
        <row r="229">
          <cell r="A229" t="str">
            <v>EDDY230</v>
          </cell>
        </row>
        <row r="230">
          <cell r="A230" t="str">
            <v>EDDY345</v>
          </cell>
        </row>
        <row r="231">
          <cell r="A231" t="str">
            <v>EE1</v>
          </cell>
        </row>
        <row r="232">
          <cell r="A232" t="str">
            <v>EE2</v>
          </cell>
        </row>
        <row r="233">
          <cell r="A233" t="str">
            <v>EGAluminum</v>
          </cell>
        </row>
        <row r="234">
          <cell r="A234" t="str">
            <v>EIPOD</v>
          </cell>
        </row>
        <row r="235">
          <cell r="A235" t="str">
            <v>EIPOR</v>
          </cell>
        </row>
        <row r="236">
          <cell r="A236" t="str">
            <v>ELBU</v>
          </cell>
        </row>
        <row r="237">
          <cell r="A237" t="str">
            <v>ELD230SYS</v>
          </cell>
        </row>
        <row r="238">
          <cell r="A238" t="str">
            <v>ELD500SYS</v>
          </cell>
        </row>
        <row r="239">
          <cell r="A239" t="str">
            <v>ELDORADO230</v>
          </cell>
        </row>
        <row r="240">
          <cell r="A240" t="str">
            <v>ELDORADO500</v>
          </cell>
        </row>
        <row r="241">
          <cell r="A241" t="str">
            <v>Ellensburg</v>
          </cell>
        </row>
        <row r="242">
          <cell r="A242" t="str">
            <v>ELM</v>
          </cell>
        </row>
        <row r="243">
          <cell r="A243" t="str">
            <v>ELPA</v>
          </cell>
        </row>
        <row r="244">
          <cell r="A244" t="str">
            <v>ELV230</v>
          </cell>
        </row>
        <row r="245">
          <cell r="A245" t="str">
            <v>Emerald</v>
          </cell>
        </row>
        <row r="246">
          <cell r="A246" t="str">
            <v>EnergyNW</v>
          </cell>
        </row>
        <row r="247">
          <cell r="A247" t="str">
            <v>ENPR</v>
          </cell>
        </row>
        <row r="248">
          <cell r="A248" t="str">
            <v>ENPRISE.PUMP</v>
          </cell>
        </row>
        <row r="249">
          <cell r="A249" t="str">
            <v>EPE</v>
          </cell>
        </row>
        <row r="250">
          <cell r="A250" t="str">
            <v>EPE.CFE.JREZ</v>
          </cell>
        </row>
        <row r="251">
          <cell r="A251" t="str">
            <v>EPE.LOCALGEN</v>
          </cell>
        </row>
        <row r="252">
          <cell r="A252" t="str">
            <v>EPE.RESLOAD</v>
          </cell>
        </row>
        <row r="253">
          <cell r="A253" t="str">
            <v>EQUILON449</v>
          </cell>
        </row>
        <row r="254">
          <cell r="A254" t="str">
            <v>ETA115</v>
          </cell>
        </row>
        <row r="255">
          <cell r="A255" t="str">
            <v>EWEB</v>
          </cell>
        </row>
        <row r="256">
          <cell r="A256" t="str">
            <v>FALLRIVER</v>
          </cell>
        </row>
        <row r="257">
          <cell r="A257" t="str">
            <v>FBC.LAM.LD</v>
          </cell>
        </row>
        <row r="258">
          <cell r="A258" t="str">
            <v>FBC.OK.LD</v>
          </cell>
        </row>
        <row r="259">
          <cell r="A259" t="str">
            <v>FBC.PRI.LD</v>
          </cell>
        </row>
        <row r="260">
          <cell r="A260" t="str">
            <v>FERNDAL.PUMP</v>
          </cell>
        </row>
        <row r="261">
          <cell r="A261" t="str">
            <v>FGE</v>
          </cell>
        </row>
        <row r="262">
          <cell r="A262" t="str">
            <v>FinleyGen</v>
          </cell>
        </row>
        <row r="263">
          <cell r="A263" t="str">
            <v>FIY230</v>
          </cell>
        </row>
        <row r="264">
          <cell r="A264" t="str">
            <v>Flathead</v>
          </cell>
        </row>
        <row r="265">
          <cell r="A265" t="str">
            <v>FLN230</v>
          </cell>
        </row>
        <row r="266">
          <cell r="A266" t="str">
            <v>FLUP</v>
          </cell>
        </row>
        <row r="267">
          <cell r="A267" t="str">
            <v>FOL230</v>
          </cell>
        </row>
        <row r="268">
          <cell r="A268" t="str">
            <v>FON</v>
          </cell>
        </row>
        <row r="269">
          <cell r="A269" t="str">
            <v>ForestGrove</v>
          </cell>
        </row>
        <row r="270">
          <cell r="A270" t="str">
            <v>FOURCORNE230</v>
          </cell>
        </row>
        <row r="271">
          <cell r="A271" t="str">
            <v>FOURCORNE345</v>
          </cell>
        </row>
        <row r="272">
          <cell r="A272" t="str">
            <v>FOURCORNE500</v>
          </cell>
        </row>
        <row r="273">
          <cell r="A273" t="str">
            <v>FOURCORNE69</v>
          </cell>
        </row>
        <row r="274">
          <cell r="A274" t="str">
            <v>Franklin</v>
          </cell>
        </row>
        <row r="275">
          <cell r="A275" t="str">
            <v>FredricksoLD</v>
          </cell>
        </row>
        <row r="276">
          <cell r="A276" t="str">
            <v>Fredrickson</v>
          </cell>
        </row>
        <row r="277">
          <cell r="A277" t="str">
            <v>FrkPasGen</v>
          </cell>
        </row>
        <row r="278">
          <cell r="A278" t="str">
            <v>FULLER</v>
          </cell>
        </row>
        <row r="279">
          <cell r="A279" t="str">
            <v>FULLER115</v>
          </cell>
        </row>
        <row r="280">
          <cell r="A280" t="str">
            <v>FVAL</v>
          </cell>
        </row>
        <row r="281">
          <cell r="A281" t="str">
            <v>FWNP</v>
          </cell>
        </row>
        <row r="282">
          <cell r="A282" t="str">
            <v>GALLEGOS115</v>
          </cell>
        </row>
        <row r="283">
          <cell r="A283" t="str">
            <v>GALLUP1</v>
          </cell>
        </row>
        <row r="284">
          <cell r="A284" t="str">
            <v>GAR230NWMT</v>
          </cell>
        </row>
        <row r="285">
          <cell r="A285" t="str">
            <v>Garrison</v>
          </cell>
        </row>
        <row r="286">
          <cell r="A286" t="str">
            <v>GAVILANPK230</v>
          </cell>
        </row>
        <row r="287">
          <cell r="A287" t="str">
            <v>GCPD</v>
          </cell>
        </row>
        <row r="288">
          <cell r="A288" t="str">
            <v>GCPD.RoadM</v>
          </cell>
        </row>
        <row r="289">
          <cell r="A289" t="str">
            <v>GCPHA</v>
          </cell>
        </row>
        <row r="290">
          <cell r="A290" t="str">
            <v>GENE</v>
          </cell>
        </row>
        <row r="291">
          <cell r="A291" t="str">
            <v>GHPUD</v>
          </cell>
        </row>
        <row r="292">
          <cell r="A292" t="str">
            <v>GILA161</v>
          </cell>
        </row>
        <row r="293">
          <cell r="A293" t="str">
            <v>GILA230</v>
          </cell>
        </row>
        <row r="294">
          <cell r="A294" t="str">
            <v>GILA69</v>
          </cell>
        </row>
        <row r="295">
          <cell r="A295" t="str">
            <v>GILABEND230</v>
          </cell>
        </row>
        <row r="296">
          <cell r="A296" t="str">
            <v>GILARIVER500</v>
          </cell>
        </row>
        <row r="297">
          <cell r="A297" t="str">
            <v>GJCT</v>
          </cell>
        </row>
        <row r="298">
          <cell r="A298" t="str">
            <v>GLAD</v>
          </cell>
        </row>
        <row r="299">
          <cell r="A299" t="str">
            <v>GLAD115</v>
          </cell>
        </row>
        <row r="300">
          <cell r="A300" t="str">
            <v>GLADE115</v>
          </cell>
        </row>
        <row r="301">
          <cell r="A301" t="str">
            <v>GLENCANYON1</v>
          </cell>
        </row>
        <row r="302">
          <cell r="A302" t="str">
            <v>GLENCANYON2</v>
          </cell>
        </row>
        <row r="303">
          <cell r="A303" t="str">
            <v>GLENCANYON3</v>
          </cell>
        </row>
        <row r="304">
          <cell r="A304" t="str">
            <v>GLENCANYON69</v>
          </cell>
        </row>
        <row r="305">
          <cell r="A305" t="str">
            <v>GLWND1</v>
          </cell>
        </row>
        <row r="306">
          <cell r="A306" t="str">
            <v>GLWND2</v>
          </cell>
        </row>
        <row r="307">
          <cell r="A307" t="str">
            <v>GMS.MCA.REV</v>
          </cell>
        </row>
        <row r="308">
          <cell r="A308" t="str">
            <v>GoldendalCPN</v>
          </cell>
        </row>
        <row r="309">
          <cell r="A309" t="str">
            <v>Goldendale</v>
          </cell>
        </row>
        <row r="310">
          <cell r="A310" t="str">
            <v>GoldendaleAC</v>
          </cell>
        </row>
        <row r="311">
          <cell r="A311" t="str">
            <v>GON.IPP</v>
          </cell>
        </row>
        <row r="312">
          <cell r="A312" t="str">
            <v>GON.PAV</v>
          </cell>
        </row>
        <row r="313">
          <cell r="A313" t="str">
            <v>GOODNOEH1LD</v>
          </cell>
        </row>
        <row r="314">
          <cell r="A314" t="str">
            <v>GOODNOEHILL1</v>
          </cell>
        </row>
        <row r="315">
          <cell r="A315" t="str">
            <v>GOULD1</v>
          </cell>
        </row>
        <row r="316">
          <cell r="A316" t="str">
            <v>GOULD2</v>
          </cell>
        </row>
        <row r="317">
          <cell r="A317" t="str">
            <v>GPTOLEDO</v>
          </cell>
        </row>
        <row r="318">
          <cell r="A318" t="str">
            <v>GRANT.AVA</v>
          </cell>
        </row>
        <row r="319">
          <cell r="A319" t="str">
            <v>GREATFALLS</v>
          </cell>
        </row>
        <row r="320">
          <cell r="A320" t="str">
            <v>GREENLEE345</v>
          </cell>
        </row>
        <row r="321">
          <cell r="A321" t="str">
            <v>GRENLESWT345</v>
          </cell>
        </row>
        <row r="322">
          <cell r="A322" t="str">
            <v>Gresham</v>
          </cell>
        </row>
        <row r="323">
          <cell r="A323" t="str">
            <v>GRIFFITH230</v>
          </cell>
        </row>
        <row r="324">
          <cell r="A324" t="str">
            <v>GRIFFITH69</v>
          </cell>
        </row>
        <row r="325">
          <cell r="A325" t="str">
            <v>Grizzly</v>
          </cell>
        </row>
        <row r="326">
          <cell r="A326" t="str">
            <v>GSHN</v>
          </cell>
        </row>
        <row r="327">
          <cell r="A327" t="str">
            <v>GTFALLSNWMT</v>
          </cell>
        </row>
        <row r="328">
          <cell r="A328" t="str">
            <v>GUADALUPE345</v>
          </cell>
        </row>
        <row r="329">
          <cell r="A329" t="str">
            <v>H500</v>
          </cell>
        </row>
        <row r="330">
          <cell r="A330" t="str">
            <v>HA230</v>
          </cell>
        </row>
        <row r="331">
          <cell r="A331" t="str">
            <v>HA345</v>
          </cell>
        </row>
        <row r="332">
          <cell r="A332" t="str">
            <v>HA500</v>
          </cell>
        </row>
        <row r="333">
          <cell r="A333" t="str">
            <v>HACKBERRY230</v>
          </cell>
        </row>
        <row r="334">
          <cell r="A334" t="str">
            <v>HAIWEE</v>
          </cell>
        </row>
        <row r="335">
          <cell r="A335" t="str">
            <v>HARDIN</v>
          </cell>
        </row>
        <row r="336">
          <cell r="A336" t="str">
            <v>Harney</v>
          </cell>
        </row>
        <row r="337">
          <cell r="A337" t="str">
            <v>HarvestWind</v>
          </cell>
        </row>
        <row r="338">
          <cell r="A338" t="str">
            <v>HayCanyon</v>
          </cell>
        </row>
        <row r="339">
          <cell r="A339" t="str">
            <v>HayCanyonLD</v>
          </cell>
        </row>
        <row r="340">
          <cell r="A340" t="str">
            <v>HAYDEN115</v>
          </cell>
        </row>
        <row r="341">
          <cell r="A341" t="str">
            <v>HBRSOUTH</v>
          </cell>
        </row>
        <row r="342">
          <cell r="A342" t="str">
            <v>HCPR</v>
          </cell>
        </row>
        <row r="343">
          <cell r="A343" t="str">
            <v>HDN</v>
          </cell>
        </row>
        <row r="344">
          <cell r="A344" t="str">
            <v>HEADGATEROCK</v>
          </cell>
        </row>
        <row r="345">
          <cell r="A345" t="str">
            <v>HEBER69</v>
          </cell>
        </row>
        <row r="346">
          <cell r="A346" t="str">
            <v>HEBERSOUTH1</v>
          </cell>
        </row>
        <row r="347">
          <cell r="A347" t="str">
            <v>Heppner</v>
          </cell>
        </row>
        <row r="348">
          <cell r="A348" t="str">
            <v>HermistCPNLD</v>
          </cell>
        </row>
        <row r="349">
          <cell r="A349" t="str">
            <v>HermistonCPN</v>
          </cell>
        </row>
        <row r="350">
          <cell r="A350" t="str">
            <v>HermistonGen</v>
          </cell>
        </row>
        <row r="351">
          <cell r="A351" t="str">
            <v>HERN</v>
          </cell>
        </row>
        <row r="352">
          <cell r="A352" t="str">
            <v>HERN6</v>
          </cell>
        </row>
        <row r="353">
          <cell r="A353" t="str">
            <v>HGC</v>
          </cell>
        </row>
        <row r="354">
          <cell r="A354" t="str">
            <v>HGMA</v>
          </cell>
        </row>
        <row r="355">
          <cell r="A355" t="str">
            <v>HIDALGO115</v>
          </cell>
        </row>
        <row r="356">
          <cell r="A356" t="str">
            <v>HIDALGO345</v>
          </cell>
        </row>
        <row r="357">
          <cell r="A357" t="str">
            <v>HIGHLINE230</v>
          </cell>
        </row>
        <row r="358">
          <cell r="A358" t="str">
            <v>HILLTOP230</v>
          </cell>
        </row>
        <row r="359">
          <cell r="A359" t="str">
            <v>Hilltop345</v>
          </cell>
        </row>
        <row r="360">
          <cell r="A360" t="str">
            <v>HJ</v>
          </cell>
        </row>
        <row r="361">
          <cell r="A361" t="str">
            <v>HMWY</v>
          </cell>
        </row>
        <row r="362">
          <cell r="A362" t="str">
            <v>HNLK</v>
          </cell>
        </row>
        <row r="363">
          <cell r="A363" t="str">
            <v>HOGBACK</v>
          </cell>
        </row>
        <row r="364">
          <cell r="A364" t="str">
            <v>HOLLOMAN115</v>
          </cell>
        </row>
        <row r="365">
          <cell r="A365" t="str">
            <v>HOLLYWOOD115</v>
          </cell>
        </row>
        <row r="366">
          <cell r="A366" t="str">
            <v>HoodRiver</v>
          </cell>
        </row>
        <row r="367">
          <cell r="A367" t="str">
            <v>HOOVER230</v>
          </cell>
        </row>
        <row r="368">
          <cell r="A368" t="str">
            <v>Hopkins</v>
          </cell>
        </row>
        <row r="369">
          <cell r="A369" t="str">
            <v>HopkinsRidge</v>
          </cell>
        </row>
        <row r="370">
          <cell r="A370" t="str">
            <v>HrmistnCPNBS</v>
          </cell>
        </row>
        <row r="371">
          <cell r="A371" t="str">
            <v>HSP</v>
          </cell>
        </row>
        <row r="372">
          <cell r="A372" t="str">
            <v>HTSP</v>
          </cell>
        </row>
        <row r="373">
          <cell r="A373" t="str">
            <v>HTSP.AVA</v>
          </cell>
        </row>
        <row r="374">
          <cell r="A374" t="str">
            <v>HTSPNWMT</v>
          </cell>
        </row>
        <row r="375">
          <cell r="A375" t="str">
            <v>HUNTER</v>
          </cell>
        </row>
        <row r="376">
          <cell r="A376" t="str">
            <v>HUR230</v>
          </cell>
        </row>
        <row r="377">
          <cell r="A377" t="str">
            <v>HURR</v>
          </cell>
        </row>
        <row r="378">
          <cell r="A378" t="str">
            <v>IDNW</v>
          </cell>
        </row>
        <row r="379">
          <cell r="A379" t="str">
            <v>INEL</v>
          </cell>
        </row>
        <row r="380">
          <cell r="A380" t="str">
            <v>INT</v>
          </cell>
        </row>
        <row r="381">
          <cell r="A381" t="str">
            <v>INTEL449</v>
          </cell>
        </row>
        <row r="382">
          <cell r="A382" t="str">
            <v>INYO</v>
          </cell>
        </row>
        <row r="383">
          <cell r="A383" t="str">
            <v>IPCO</v>
          </cell>
        </row>
        <row r="384">
          <cell r="A384" t="str">
            <v>IPCOEAST</v>
          </cell>
        </row>
        <row r="385">
          <cell r="A385" t="str">
            <v>IPCOGEN</v>
          </cell>
        </row>
        <row r="386">
          <cell r="A386" t="str">
            <v>IPCOLOSS</v>
          </cell>
        </row>
        <row r="387">
          <cell r="A387" t="str">
            <v>IPCOSID</v>
          </cell>
        </row>
        <row r="388">
          <cell r="A388" t="str">
            <v>IPP</v>
          </cell>
        </row>
        <row r="389">
          <cell r="A389" t="str">
            <v>IPPgen</v>
          </cell>
        </row>
        <row r="390">
          <cell r="A390" t="str">
            <v>IPPUTAH</v>
          </cell>
        </row>
        <row r="391">
          <cell r="A391" t="str">
            <v>IRVINGTON138</v>
          </cell>
        </row>
        <row r="392">
          <cell r="A392" t="str">
            <v>IV230KV</v>
          </cell>
        </row>
        <row r="393">
          <cell r="A393" t="str">
            <v>IVGEO</v>
          </cell>
        </row>
        <row r="394">
          <cell r="A394" t="str">
            <v>IVGOULD</v>
          </cell>
        </row>
        <row r="395">
          <cell r="A395" t="str">
            <v>IVLY2</v>
          </cell>
        </row>
        <row r="396">
          <cell r="A396" t="str">
            <v>IVLY5</v>
          </cell>
        </row>
        <row r="397">
          <cell r="A397" t="str">
            <v>IVRR</v>
          </cell>
        </row>
        <row r="398">
          <cell r="A398" t="str">
            <v>IVSS5</v>
          </cell>
        </row>
        <row r="399">
          <cell r="A399" t="str">
            <v>IVTURBO</v>
          </cell>
        </row>
        <row r="400">
          <cell r="A400" t="str">
            <v>JBSN</v>
          </cell>
        </row>
        <row r="401">
          <cell r="A401" t="str">
            <v>JBWT</v>
          </cell>
        </row>
        <row r="402">
          <cell r="A402" t="str">
            <v>JEFF</v>
          </cell>
        </row>
        <row r="403">
          <cell r="A403" t="str">
            <v>JnprCnyn</v>
          </cell>
        </row>
        <row r="404">
          <cell r="A404" t="str">
            <v>JohnDay</v>
          </cell>
        </row>
        <row r="405">
          <cell r="A405" t="str">
            <v>JohnDayBR</v>
          </cell>
        </row>
        <row r="406">
          <cell r="A406" t="str">
            <v>JOJOBA500</v>
          </cell>
        </row>
        <row r="407">
          <cell r="A407" t="str">
            <v>JUAN</v>
          </cell>
        </row>
        <row r="408">
          <cell r="A408" t="str">
            <v>JUAREZ</v>
          </cell>
        </row>
        <row r="409">
          <cell r="A409" t="str">
            <v>Juniper2LD</v>
          </cell>
        </row>
        <row r="410">
          <cell r="A410" t="str">
            <v>JuniperWind</v>
          </cell>
        </row>
        <row r="411">
          <cell r="A411" t="str">
            <v>JuniperWinLD</v>
          </cell>
        </row>
        <row r="412">
          <cell r="A412" t="str">
            <v>KaiserBell</v>
          </cell>
        </row>
        <row r="413">
          <cell r="A413" t="str">
            <v>KaiserTac</v>
          </cell>
        </row>
        <row r="414">
          <cell r="A414" t="str">
            <v>KaiserTrent</v>
          </cell>
        </row>
        <row r="415">
          <cell r="A415" t="str">
            <v>KASIERBELL</v>
          </cell>
        </row>
        <row r="416">
          <cell r="A416" t="str">
            <v>KASIERTAC</v>
          </cell>
        </row>
        <row r="417">
          <cell r="A417" t="str">
            <v>KASIERTRENT</v>
          </cell>
        </row>
        <row r="418">
          <cell r="A418" t="str">
            <v>KAY-LHV</v>
          </cell>
        </row>
        <row r="419">
          <cell r="A419" t="str">
            <v>KEEN</v>
          </cell>
        </row>
        <row r="420">
          <cell r="A420" t="str">
            <v>KES230</v>
          </cell>
        </row>
        <row r="421">
          <cell r="A421" t="str">
            <v>KFallsGen</v>
          </cell>
        </row>
        <row r="422">
          <cell r="A422" t="str">
            <v>KFallsGenBR</v>
          </cell>
        </row>
        <row r="423">
          <cell r="A423" t="str">
            <v>KI</v>
          </cell>
        </row>
        <row r="424">
          <cell r="A424" t="str">
            <v>KITTITAS</v>
          </cell>
        </row>
        <row r="425">
          <cell r="A425" t="str">
            <v>KITTVAL</v>
          </cell>
        </row>
        <row r="426">
          <cell r="A426" t="str">
            <v>Klickitat</v>
          </cell>
        </row>
        <row r="427">
          <cell r="A427" t="str">
            <v>Klondike2SH</v>
          </cell>
        </row>
        <row r="428">
          <cell r="A428" t="str">
            <v>Klondike3SH</v>
          </cell>
        </row>
        <row r="429">
          <cell r="A429" t="str">
            <v>KlondikeSH</v>
          </cell>
        </row>
        <row r="430">
          <cell r="A430" t="str">
            <v>Klondke3aBPA</v>
          </cell>
        </row>
        <row r="431">
          <cell r="A431" t="str">
            <v>KNOB161</v>
          </cell>
        </row>
        <row r="432">
          <cell r="A432" t="str">
            <v>KNOX230</v>
          </cell>
        </row>
        <row r="433">
          <cell r="A433" t="str">
            <v>KPRT</v>
          </cell>
        </row>
        <row r="434">
          <cell r="A434" t="str">
            <v>KUTZ115</v>
          </cell>
        </row>
        <row r="435">
          <cell r="A435" t="str">
            <v>KYRENE230</v>
          </cell>
        </row>
        <row r="436">
          <cell r="A436" t="str">
            <v>KYRENE500</v>
          </cell>
        </row>
        <row r="437">
          <cell r="A437" t="str">
            <v>LAGBELLVELO</v>
          </cell>
        </row>
        <row r="438">
          <cell r="A438" t="str">
            <v>LaGrande</v>
          </cell>
        </row>
        <row r="439">
          <cell r="A439" t="str">
            <v>LAJU</v>
          </cell>
        </row>
        <row r="440">
          <cell r="A440" t="str">
            <v>Lake</v>
          </cell>
        </row>
        <row r="441">
          <cell r="A441" t="str">
            <v>LAMR</v>
          </cell>
        </row>
        <row r="442">
          <cell r="A442" t="str">
            <v>LAMR115</v>
          </cell>
        </row>
        <row r="443">
          <cell r="A443" t="str">
            <v>LAMR230</v>
          </cell>
        </row>
        <row r="444">
          <cell r="A444" t="str">
            <v>LAMR345</v>
          </cell>
        </row>
        <row r="445">
          <cell r="A445" t="str">
            <v>LAMS</v>
          </cell>
        </row>
        <row r="446">
          <cell r="A446" t="str">
            <v>LANCASTER</v>
          </cell>
        </row>
        <row r="447">
          <cell r="A447" t="str">
            <v>LancasterLD</v>
          </cell>
        </row>
        <row r="448">
          <cell r="A448" t="str">
            <v>LaPine230</v>
          </cell>
        </row>
        <row r="449">
          <cell r="A449" t="str">
            <v>LAPTNITS</v>
          </cell>
        </row>
        <row r="450">
          <cell r="A450" t="str">
            <v>LASANIMAS</v>
          </cell>
        </row>
        <row r="451">
          <cell r="A451" t="str">
            <v>LASCRCS115</v>
          </cell>
        </row>
        <row r="452">
          <cell r="A452" t="str">
            <v>LASYSTEM</v>
          </cell>
        </row>
        <row r="453">
          <cell r="A453" t="str">
            <v>LAUGHLINSYS</v>
          </cell>
        </row>
        <row r="454">
          <cell r="A454" t="str">
            <v>LCPDSYS</v>
          </cell>
        </row>
        <row r="455">
          <cell r="A455" t="str">
            <v>LeanJnpr2</v>
          </cell>
        </row>
        <row r="456">
          <cell r="A456" t="str">
            <v>LEATH</v>
          </cell>
        </row>
        <row r="457">
          <cell r="A457" t="str">
            <v>LewisPUD</v>
          </cell>
        </row>
        <row r="458">
          <cell r="A458" t="str">
            <v>LFG-Gen</v>
          </cell>
        </row>
        <row r="459">
          <cell r="A459" t="str">
            <v>LIBERTY230</v>
          </cell>
        </row>
        <row r="460">
          <cell r="A460" t="str">
            <v>LIMO</v>
          </cell>
        </row>
        <row r="461">
          <cell r="A461" t="str">
            <v>LINC</v>
          </cell>
        </row>
        <row r="462">
          <cell r="A462" t="str">
            <v>LINDEN69</v>
          </cell>
        </row>
        <row r="463">
          <cell r="A463" t="str">
            <v>LindenWind</v>
          </cell>
        </row>
        <row r="464">
          <cell r="A464" t="str">
            <v>LJAR115</v>
          </cell>
        </row>
        <row r="465">
          <cell r="A465" t="str">
            <v>LJAR69</v>
          </cell>
        </row>
        <row r="466">
          <cell r="A466" t="str">
            <v>LLL115</v>
          </cell>
        </row>
        <row r="467">
          <cell r="A467" t="str">
            <v>LOCAL.GEN</v>
          </cell>
        </row>
        <row r="468">
          <cell r="A468" t="str">
            <v>LOGAN</v>
          </cell>
        </row>
        <row r="469">
          <cell r="A469" t="str">
            <v>LOLO</v>
          </cell>
        </row>
        <row r="470">
          <cell r="A470" t="str">
            <v>LONEBUTTE230</v>
          </cell>
        </row>
        <row r="471">
          <cell r="A471" t="str">
            <v>LongviewAlum</v>
          </cell>
        </row>
        <row r="472">
          <cell r="A472" t="str">
            <v>LongviewFbr</v>
          </cell>
        </row>
        <row r="473">
          <cell r="A473" t="str">
            <v>LORDSBURG115</v>
          </cell>
        </row>
        <row r="474">
          <cell r="A474" t="str">
            <v>LOSBANOS230</v>
          </cell>
        </row>
        <row r="475">
          <cell r="A475" t="str">
            <v>LRS</v>
          </cell>
        </row>
        <row r="476">
          <cell r="A476" t="str">
            <v>LRS230</v>
          </cell>
        </row>
        <row r="477">
          <cell r="A477" t="str">
            <v>LRS345</v>
          </cell>
        </row>
        <row r="478">
          <cell r="A478" t="str">
            <v>LRS69</v>
          </cell>
        </row>
        <row r="479">
          <cell r="A479" t="str">
            <v>LSRwind1</v>
          </cell>
        </row>
        <row r="480">
          <cell r="A480" t="str">
            <v>LUGO</v>
          </cell>
        </row>
        <row r="481">
          <cell r="A481" t="str">
            <v>LUNA115</v>
          </cell>
        </row>
        <row r="482">
          <cell r="A482" t="str">
            <v>LUNA345</v>
          </cell>
        </row>
        <row r="483">
          <cell r="A483" t="str">
            <v>LYPK</v>
          </cell>
        </row>
        <row r="484">
          <cell r="A484" t="str">
            <v>M345</v>
          </cell>
        </row>
        <row r="485">
          <cell r="A485" t="str">
            <v>M500</v>
          </cell>
        </row>
        <row r="486">
          <cell r="A486" t="str">
            <v>MACHOSPRG345</v>
          </cell>
        </row>
        <row r="487">
          <cell r="A487" t="str">
            <v>Malin230</v>
          </cell>
        </row>
        <row r="488">
          <cell r="A488" t="str">
            <v>MALIN500</v>
          </cell>
        </row>
        <row r="489">
          <cell r="A489" t="str">
            <v>MALTA</v>
          </cell>
        </row>
        <row r="490">
          <cell r="A490" t="str">
            <v>MARANA115</v>
          </cell>
        </row>
        <row r="491">
          <cell r="A491" t="str">
            <v>MARBLE60</v>
          </cell>
        </row>
        <row r="492">
          <cell r="A492" t="str">
            <v>MARCHPT_GEN</v>
          </cell>
        </row>
        <row r="493">
          <cell r="A493" t="str">
            <v>MARKETPLACE</v>
          </cell>
        </row>
        <row r="494">
          <cell r="A494" t="str">
            <v>MasonPUD1</v>
          </cell>
        </row>
        <row r="495">
          <cell r="A495" t="str">
            <v>MasonPUD3</v>
          </cell>
        </row>
        <row r="496">
          <cell r="A496" t="str">
            <v>MATL.NWMT</v>
          </cell>
        </row>
        <row r="497">
          <cell r="A497" t="str">
            <v>MCCALL</v>
          </cell>
        </row>
        <row r="498">
          <cell r="A498" t="str">
            <v>MCCONNICO230</v>
          </cell>
        </row>
        <row r="499">
          <cell r="A499" t="str">
            <v>MCCULLOUG230</v>
          </cell>
        </row>
        <row r="500">
          <cell r="A500" t="str">
            <v>MCCULLOUG500</v>
          </cell>
        </row>
        <row r="501">
          <cell r="A501" t="str">
            <v>MCKINLEY345</v>
          </cell>
        </row>
        <row r="502">
          <cell r="A502" t="str">
            <v>McMinnville</v>
          </cell>
        </row>
        <row r="503">
          <cell r="A503" t="str">
            <v>MCNARY</v>
          </cell>
        </row>
        <row r="504">
          <cell r="A504" t="str">
            <v>MCNRYFSHWY</v>
          </cell>
        </row>
        <row r="505">
          <cell r="A505" t="str">
            <v>MCNRYFWKCP</v>
          </cell>
        </row>
        <row r="506">
          <cell r="A506" t="str">
            <v>MD#1-115</v>
          </cell>
        </row>
        <row r="507">
          <cell r="A507" t="str">
            <v>MD1</v>
          </cell>
        </row>
        <row r="508">
          <cell r="A508" t="str">
            <v>MD115</v>
          </cell>
        </row>
        <row r="509">
          <cell r="A509" t="str">
            <v>MDGT</v>
          </cell>
        </row>
        <row r="510">
          <cell r="A510" t="str">
            <v>MDSK</v>
          </cell>
        </row>
        <row r="511">
          <cell r="A511" t="str">
            <v>MDWP</v>
          </cell>
        </row>
        <row r="512">
          <cell r="A512" t="str">
            <v>MEAD 230</v>
          </cell>
        </row>
        <row r="513">
          <cell r="A513" t="str">
            <v>MEAD 500</v>
          </cell>
        </row>
        <row r="514">
          <cell r="A514" t="str">
            <v>MEAD230</v>
          </cell>
        </row>
        <row r="515">
          <cell r="A515" t="str">
            <v>MEAD500</v>
          </cell>
        </row>
        <row r="516">
          <cell r="A516" t="str">
            <v>MERCHANT230</v>
          </cell>
        </row>
        <row r="517">
          <cell r="A517" t="str">
            <v>MESQUITE230</v>
          </cell>
        </row>
        <row r="518">
          <cell r="A518" t="str">
            <v>MID.SYSTEM</v>
          </cell>
        </row>
        <row r="519">
          <cell r="A519" t="str">
            <v>MIDC</v>
          </cell>
        </row>
        <row r="520">
          <cell r="A520" t="str">
            <v>MIDCRemote</v>
          </cell>
        </row>
        <row r="521">
          <cell r="A521" t="str">
            <v>MIDW</v>
          </cell>
        </row>
        <row r="522">
          <cell r="A522" t="str">
            <v>MIDWAY</v>
          </cell>
        </row>
        <row r="523">
          <cell r="A523" t="str">
            <v>Midway230</v>
          </cell>
        </row>
        <row r="524">
          <cell r="A524" t="str">
            <v>MIMBRES115</v>
          </cell>
        </row>
        <row r="525">
          <cell r="A525" t="str">
            <v>MintFarm</v>
          </cell>
        </row>
        <row r="526">
          <cell r="A526" t="str">
            <v>MINTFARMGEN</v>
          </cell>
        </row>
        <row r="527">
          <cell r="A527" t="str">
            <v>MintFarmLD</v>
          </cell>
        </row>
        <row r="528">
          <cell r="A528" t="str">
            <v>MIR2</v>
          </cell>
        </row>
        <row r="529">
          <cell r="A529" t="str">
            <v>MIR9</v>
          </cell>
        </row>
        <row r="530">
          <cell r="A530" t="str">
            <v>MissionVly</v>
          </cell>
        </row>
        <row r="531">
          <cell r="A531" t="str">
            <v>MLCK</v>
          </cell>
        </row>
        <row r="532">
          <cell r="A532" t="str">
            <v>MM115</v>
          </cell>
        </row>
        <row r="533">
          <cell r="A533" t="str">
            <v>MNDK</v>
          </cell>
        </row>
        <row r="534">
          <cell r="A534" t="str">
            <v>MNHM</v>
          </cell>
        </row>
        <row r="535">
          <cell r="A535" t="str">
            <v>MOENKOPI500</v>
          </cell>
        </row>
        <row r="536">
          <cell r="A536" t="str">
            <v>MOHAVE</v>
          </cell>
        </row>
        <row r="537">
          <cell r="A537" t="str">
            <v>MOHAVE500</v>
          </cell>
        </row>
        <row r="538">
          <cell r="A538" t="str">
            <v>MONA</v>
          </cell>
        </row>
        <row r="539">
          <cell r="A539" t="str">
            <v>MONU</v>
          </cell>
        </row>
        <row r="540">
          <cell r="A540" t="str">
            <v>MORENCI230</v>
          </cell>
        </row>
        <row r="541">
          <cell r="A541" t="str">
            <v>MORGAN500</v>
          </cell>
        </row>
        <row r="542">
          <cell r="A542" t="str">
            <v>MORRIS115</v>
          </cell>
        </row>
        <row r="543">
          <cell r="A543" t="str">
            <v>MorrowPower</v>
          </cell>
        </row>
        <row r="544">
          <cell r="A544" t="str">
            <v>MPAC</v>
          </cell>
        </row>
        <row r="545">
          <cell r="A545" t="str">
            <v>MPP</v>
          </cell>
        </row>
        <row r="546">
          <cell r="A546" t="str">
            <v>MPSN</v>
          </cell>
        </row>
        <row r="547">
          <cell r="A547" t="str">
            <v>MSQUIT230</v>
          </cell>
        </row>
        <row r="548">
          <cell r="A548" t="str">
            <v>MTR</v>
          </cell>
        </row>
        <row r="549">
          <cell r="A549" t="str">
            <v>NAT230</v>
          </cell>
        </row>
        <row r="550">
          <cell r="A550" t="str">
            <v>NAVAJO230</v>
          </cell>
        </row>
        <row r="551">
          <cell r="A551" t="str">
            <v>NAVAJO500</v>
          </cell>
        </row>
        <row r="552">
          <cell r="A552" t="str">
            <v>NEA</v>
          </cell>
        </row>
        <row r="553">
          <cell r="A553" t="str">
            <v>NEC_SPV</v>
          </cell>
        </row>
        <row r="554">
          <cell r="A554" t="str">
            <v>NECOG</v>
          </cell>
        </row>
        <row r="555">
          <cell r="A555" t="str">
            <v>NEEDLESSYS</v>
          </cell>
        </row>
        <row r="556">
          <cell r="A556" t="str">
            <v>NEVPSYS</v>
          </cell>
        </row>
        <row r="557">
          <cell r="A557" t="str">
            <v>NEWPOINT</v>
          </cell>
        </row>
        <row r="558">
          <cell r="A558" t="str">
            <v>NFOR</v>
          </cell>
        </row>
        <row r="559">
          <cell r="A559" t="str">
            <v>NHAVASU230</v>
          </cell>
        </row>
        <row r="560">
          <cell r="A560" t="str">
            <v>NineCanyonW</v>
          </cell>
        </row>
        <row r="561">
          <cell r="A561" t="str">
            <v>NLEW</v>
          </cell>
        </row>
        <row r="562">
          <cell r="A562" t="str">
            <v>NML230</v>
          </cell>
        </row>
        <row r="563">
          <cell r="A563" t="str">
            <v>NOB</v>
          </cell>
        </row>
        <row r="564">
          <cell r="A564" t="str">
            <v>NOGALES115</v>
          </cell>
        </row>
        <row r="565">
          <cell r="A565" t="str">
            <v>NoName</v>
          </cell>
        </row>
        <row r="566">
          <cell r="A566" t="str">
            <v>North</v>
          </cell>
        </row>
        <row r="567">
          <cell r="A567" t="str">
            <v>NorthWasco</v>
          </cell>
        </row>
        <row r="568">
          <cell r="A568" t="str">
            <v>NORTHWEST</v>
          </cell>
        </row>
        <row r="569">
          <cell r="A569" t="str">
            <v>NORTON115</v>
          </cell>
        </row>
        <row r="570">
          <cell r="A570" t="str">
            <v>NOXON</v>
          </cell>
        </row>
        <row r="571">
          <cell r="A571" t="str">
            <v>NP15</v>
          </cell>
        </row>
        <row r="572">
          <cell r="A572" t="str">
            <v>NPSS</v>
          </cell>
        </row>
        <row r="573">
          <cell r="A573" t="str">
            <v>NRTHGILA500</v>
          </cell>
        </row>
        <row r="574">
          <cell r="A574" t="str">
            <v>NRTHGILA69</v>
          </cell>
        </row>
        <row r="575">
          <cell r="A575" t="str">
            <v>NUT</v>
          </cell>
        </row>
        <row r="576">
          <cell r="A576" t="str">
            <v>NWAluminum</v>
          </cell>
        </row>
        <row r="577">
          <cell r="A577" t="str">
            <v>NWH</v>
          </cell>
        </row>
        <row r="578">
          <cell r="A578" t="str">
            <v>NW-MT</v>
          </cell>
        </row>
        <row r="579">
          <cell r="A579" t="str">
            <v>NWMT.System</v>
          </cell>
        </row>
        <row r="580">
          <cell r="A580" t="str">
            <v>NYUM</v>
          </cell>
        </row>
        <row r="581">
          <cell r="A581" t="str">
            <v>OAKDALE</v>
          </cell>
        </row>
        <row r="582">
          <cell r="A582" t="str">
            <v>OBBLPR</v>
          </cell>
        </row>
        <row r="583">
          <cell r="A583" t="str">
            <v>OBN230</v>
          </cell>
        </row>
        <row r="584">
          <cell r="A584" t="str">
            <v>OBPRNORTH</v>
          </cell>
        </row>
        <row r="585">
          <cell r="A585" t="str">
            <v>OCOTILLO69</v>
          </cell>
        </row>
        <row r="586">
          <cell r="A586" t="str">
            <v>ODA230</v>
          </cell>
        </row>
        <row r="587">
          <cell r="A587" t="str">
            <v>ODA500</v>
          </cell>
        </row>
        <row r="588">
          <cell r="A588" t="str">
            <v>OGAL</v>
          </cell>
        </row>
        <row r="589">
          <cell r="A589" t="str">
            <v>OJO345</v>
          </cell>
        </row>
        <row r="590">
          <cell r="A590" t="str">
            <v>OKAN_D.S.</v>
          </cell>
        </row>
        <row r="591">
          <cell r="A591" t="str">
            <v>Okanogan</v>
          </cell>
        </row>
        <row r="592">
          <cell r="A592" t="str">
            <v>ORACLE115</v>
          </cell>
        </row>
        <row r="593">
          <cell r="A593" t="str">
            <v>ORACLEJUN115</v>
          </cell>
        </row>
        <row r="594">
          <cell r="A594" t="str">
            <v>ORCAS</v>
          </cell>
        </row>
        <row r="595">
          <cell r="A595" t="str">
            <v>OregonTrail</v>
          </cell>
        </row>
        <row r="596">
          <cell r="A596" t="str">
            <v>OreMet</v>
          </cell>
        </row>
        <row r="597">
          <cell r="A597" t="str">
            <v>ORM1</v>
          </cell>
        </row>
        <row r="598">
          <cell r="A598" t="str">
            <v>ORM2</v>
          </cell>
        </row>
        <row r="599">
          <cell r="A599" t="str">
            <v>ORME230</v>
          </cell>
        </row>
        <row r="600">
          <cell r="A600" t="str">
            <v>OROGRANDE115</v>
          </cell>
        </row>
        <row r="601">
          <cell r="A601" t="str">
            <v>OS</v>
          </cell>
        </row>
        <row r="602">
          <cell r="A602" t="str">
            <v>OSAGE</v>
          </cell>
        </row>
        <row r="603">
          <cell r="A603" t="str">
            <v>OTEC</v>
          </cell>
        </row>
        <row r="604">
          <cell r="A604" t="str">
            <v>OTECTAP</v>
          </cell>
        </row>
        <row r="605">
          <cell r="A605" t="str">
            <v>PACE</v>
          </cell>
        </row>
        <row r="606">
          <cell r="A606" t="str">
            <v>PACEN</v>
          </cell>
        </row>
        <row r="607">
          <cell r="A607" t="str">
            <v>PACES</v>
          </cell>
        </row>
        <row r="608">
          <cell r="A608" t="str">
            <v>PacificPUD</v>
          </cell>
        </row>
        <row r="609">
          <cell r="A609" t="str">
            <v>Packwood</v>
          </cell>
        </row>
        <row r="610">
          <cell r="A610" t="str">
            <v>PACW</v>
          </cell>
        </row>
        <row r="611">
          <cell r="A611" t="str">
            <v>PACW.PGE</v>
          </cell>
        </row>
        <row r="612">
          <cell r="A612" t="str">
            <v>PACWBDRL</v>
          </cell>
        </row>
        <row r="613">
          <cell r="A613" t="str">
            <v>PALOVERDE</v>
          </cell>
        </row>
        <row r="614">
          <cell r="A614" t="str">
            <v>PALOVERDE500</v>
          </cell>
        </row>
        <row r="615">
          <cell r="A615" t="str">
            <v>PANDA230</v>
          </cell>
        </row>
        <row r="616">
          <cell r="A616" t="str">
            <v>PARKER</v>
          </cell>
        </row>
        <row r="617">
          <cell r="A617" t="str">
            <v>PARKER161</v>
          </cell>
        </row>
        <row r="618">
          <cell r="A618" t="str">
            <v>PARKER230</v>
          </cell>
        </row>
        <row r="619">
          <cell r="A619" t="str">
            <v>PATH48GW</v>
          </cell>
        </row>
        <row r="620">
          <cell r="A620" t="str">
            <v>PATHC</v>
          </cell>
        </row>
        <row r="621">
          <cell r="A621" t="str">
            <v>PaTu</v>
          </cell>
        </row>
        <row r="622">
          <cell r="A622" t="str">
            <v>Pavant</v>
          </cell>
        </row>
        <row r="623">
          <cell r="A623" t="str">
            <v>PAWN</v>
          </cell>
        </row>
        <row r="624">
          <cell r="A624" t="str">
            <v>PAWNGEN</v>
          </cell>
        </row>
        <row r="625">
          <cell r="A625" t="str">
            <v>PEACOCK230</v>
          </cell>
        </row>
        <row r="626">
          <cell r="A626" t="str">
            <v>PebbleSprgLD</v>
          </cell>
        </row>
        <row r="627">
          <cell r="A627" t="str">
            <v>PebbleSprngs</v>
          </cell>
        </row>
        <row r="628">
          <cell r="A628" t="str">
            <v>PEGS</v>
          </cell>
        </row>
        <row r="629">
          <cell r="A629" t="str">
            <v>PendletonPac</v>
          </cell>
        </row>
        <row r="630">
          <cell r="A630" t="str">
            <v>PGAE.SYSTEM</v>
          </cell>
        </row>
        <row r="631">
          <cell r="A631" t="str">
            <v>PGE</v>
          </cell>
        </row>
        <row r="632">
          <cell r="A632" t="str">
            <v>PGE.BEAVER</v>
          </cell>
        </row>
        <row r="633">
          <cell r="A633" t="str">
            <v>PGE.COLSTRIP</v>
          </cell>
        </row>
        <row r="634">
          <cell r="A634" t="str">
            <v>PGE.COYSPR1</v>
          </cell>
        </row>
        <row r="635">
          <cell r="A635" t="str">
            <v>PGE.INTERNAL</v>
          </cell>
        </row>
        <row r="636">
          <cell r="A636" t="str">
            <v>PGE.MIDC</v>
          </cell>
        </row>
        <row r="637">
          <cell r="A637" t="str">
            <v>PGE.SLATT</v>
          </cell>
        </row>
        <row r="638">
          <cell r="A638" t="str">
            <v>PGE.TROJAN</v>
          </cell>
        </row>
        <row r="639">
          <cell r="A639" t="str">
            <v>PHDO</v>
          </cell>
        </row>
        <row r="640">
          <cell r="A640" t="str">
            <v>PHOENIX230</v>
          </cell>
        </row>
        <row r="641">
          <cell r="A641" t="str">
            <v>PICACHO115</v>
          </cell>
        </row>
        <row r="642">
          <cell r="A642" t="str">
            <v>PilotBute230</v>
          </cell>
        </row>
        <row r="643">
          <cell r="A643" t="str">
            <v>PILOTKNOB161</v>
          </cell>
        </row>
        <row r="644">
          <cell r="A644" t="str">
            <v>PINALWEST345</v>
          </cell>
        </row>
        <row r="645">
          <cell r="A645" t="str">
            <v>PINALWEST500</v>
          </cell>
        </row>
        <row r="646">
          <cell r="A646" t="str">
            <v>PINESTREET</v>
          </cell>
        </row>
        <row r="647">
          <cell r="A647" t="str">
            <v>PINPKAPS230</v>
          </cell>
        </row>
        <row r="648">
          <cell r="A648" t="str">
            <v>PINPKSRP230</v>
          </cell>
        </row>
        <row r="649">
          <cell r="A649" t="str">
            <v>PINTO</v>
          </cell>
        </row>
        <row r="650">
          <cell r="A650" t="str">
            <v>PLAY115</v>
          </cell>
        </row>
        <row r="651">
          <cell r="A651" t="str">
            <v>PLAY69</v>
          </cell>
        </row>
        <row r="652">
          <cell r="A652" t="str">
            <v>PM2</v>
          </cell>
        </row>
        <row r="653">
          <cell r="A653" t="str">
            <v>PNGC</v>
          </cell>
        </row>
        <row r="654">
          <cell r="A654" t="str">
            <v>PNPKWALC230</v>
          </cell>
        </row>
        <row r="655">
          <cell r="A655" t="str">
            <v>PON</v>
          </cell>
        </row>
        <row r="656">
          <cell r="A656" t="str">
            <v>PONC</v>
          </cell>
        </row>
        <row r="657">
          <cell r="A657" t="str">
            <v>Ponderosa230</v>
          </cell>
        </row>
        <row r="658">
          <cell r="A658" t="str">
            <v>Ponderosa500</v>
          </cell>
        </row>
        <row r="659">
          <cell r="A659" t="str">
            <v>POP</v>
          </cell>
        </row>
        <row r="660">
          <cell r="A660" t="str">
            <v>POPD</v>
          </cell>
        </row>
        <row r="661">
          <cell r="A661" t="str">
            <v>PortAngeles</v>
          </cell>
        </row>
        <row r="662">
          <cell r="A662" t="str">
            <v>PORTTOWNMILL</v>
          </cell>
        </row>
        <row r="663">
          <cell r="A663" t="str">
            <v>POWELL.RIVER</v>
          </cell>
        </row>
        <row r="664">
          <cell r="A664" t="str">
            <v>PPA.LD</v>
          </cell>
        </row>
        <row r="665">
          <cell r="A665" t="str">
            <v>PPMIBR</v>
          </cell>
        </row>
        <row r="666">
          <cell r="A666" t="str">
            <v>PriestRapids</v>
          </cell>
        </row>
        <row r="667">
          <cell r="A667" t="str">
            <v>PRPLD</v>
          </cell>
        </row>
        <row r="668">
          <cell r="A668" t="str">
            <v>PSA1LG</v>
          </cell>
        </row>
        <row r="669">
          <cell r="A669" t="str">
            <v>PSCMGW</v>
          </cell>
        </row>
        <row r="670">
          <cell r="A670" t="str">
            <v>PSCO</v>
          </cell>
        </row>
        <row r="671">
          <cell r="A671" t="str">
            <v>PSCOGEN</v>
          </cell>
        </row>
        <row r="672">
          <cell r="A672" t="str">
            <v>PSCOWSTATION</v>
          </cell>
        </row>
        <row r="673">
          <cell r="A673" t="str">
            <v>PSEI.SYSTEM</v>
          </cell>
        </row>
        <row r="674">
          <cell r="A674" t="str">
            <v>PTSN</v>
          </cell>
        </row>
        <row r="675">
          <cell r="A675" t="str">
            <v>PUMPKINBUTTE</v>
          </cell>
        </row>
        <row r="676">
          <cell r="A676" t="str">
            <v>PVWEST</v>
          </cell>
        </row>
        <row r="677">
          <cell r="A677" t="str">
            <v>PYGS</v>
          </cell>
        </row>
        <row r="678">
          <cell r="A678" t="str">
            <v>QUILCENE</v>
          </cell>
        </row>
        <row r="679">
          <cell r="A679" t="str">
            <v>RACEWAY230</v>
          </cell>
        </row>
        <row r="680">
          <cell r="A680" t="str">
            <v>Rainbow</v>
          </cell>
        </row>
        <row r="681">
          <cell r="A681" t="str">
            <v>RanchoSeco</v>
          </cell>
        </row>
        <row r="682">
          <cell r="A682" t="str">
            <v>RAW</v>
          </cell>
        </row>
        <row r="683">
          <cell r="A683" t="str">
            <v>RC</v>
          </cell>
        </row>
        <row r="684">
          <cell r="A684" t="str">
            <v>RC69</v>
          </cell>
        </row>
        <row r="685">
          <cell r="A685" t="str">
            <v>RCEAST</v>
          </cell>
        </row>
        <row r="686">
          <cell r="A686" t="str">
            <v>RCWEST</v>
          </cell>
        </row>
        <row r="687">
          <cell r="A687" t="str">
            <v>RDM230</v>
          </cell>
        </row>
        <row r="688">
          <cell r="A688" t="str">
            <v>RDM500</v>
          </cell>
        </row>
        <row r="689">
          <cell r="A689" t="str">
            <v>READER</v>
          </cell>
        </row>
        <row r="690">
          <cell r="A690" t="str">
            <v>REDB</v>
          </cell>
        </row>
        <row r="691">
          <cell r="A691" t="str">
            <v>REDBL</v>
          </cell>
        </row>
        <row r="692">
          <cell r="A692" t="str">
            <v>REDDR1</v>
          </cell>
        </row>
        <row r="693">
          <cell r="A693" t="str">
            <v>REDMESA115</v>
          </cell>
        </row>
        <row r="694">
          <cell r="A694" t="str">
            <v>REEVES115</v>
          </cell>
        </row>
        <row r="695">
          <cell r="A695" t="str">
            <v>Reston230</v>
          </cell>
        </row>
        <row r="696">
          <cell r="A696" t="str">
            <v>RFL</v>
          </cell>
        </row>
        <row r="697">
          <cell r="A697" t="str">
            <v>RGC.DC.LF115</v>
          </cell>
        </row>
        <row r="698">
          <cell r="A698" t="str">
            <v>RICHLAND</v>
          </cell>
        </row>
        <row r="699">
          <cell r="A699" t="str">
            <v>River</v>
          </cell>
        </row>
        <row r="700">
          <cell r="A700" t="str">
            <v>Riverbend</v>
          </cell>
        </row>
        <row r="701">
          <cell r="A701" t="str">
            <v>RNDVALLEY230</v>
          </cell>
        </row>
        <row r="702">
          <cell r="A702" t="str">
            <v>ROGERS230</v>
          </cell>
        </row>
        <row r="703">
          <cell r="A703" t="str">
            <v>RoundButte</v>
          </cell>
        </row>
        <row r="704">
          <cell r="A704" t="str">
            <v>ROUNDVLY230</v>
          </cell>
        </row>
        <row r="705">
          <cell r="A705" t="str">
            <v>RRP</v>
          </cell>
        </row>
        <row r="706">
          <cell r="A706" t="str">
            <v>RRPLD</v>
          </cell>
        </row>
        <row r="707">
          <cell r="A707" t="str">
            <v>RSC230</v>
          </cell>
        </row>
        <row r="708">
          <cell r="A708" t="str">
            <v>RUDD230</v>
          </cell>
        </row>
        <row r="709">
          <cell r="A709" t="str">
            <v>RUDD500</v>
          </cell>
        </row>
        <row r="710">
          <cell r="A710" t="str">
            <v>SADLBROKRNCH</v>
          </cell>
        </row>
        <row r="711">
          <cell r="A711" t="str">
            <v>SAGUARO115</v>
          </cell>
        </row>
        <row r="712">
          <cell r="A712" t="str">
            <v>SAGUARO230</v>
          </cell>
        </row>
        <row r="713">
          <cell r="A713" t="str">
            <v>SAGUARO500</v>
          </cell>
        </row>
        <row r="714">
          <cell r="A714" t="str">
            <v>SalemPac</v>
          </cell>
        </row>
        <row r="715">
          <cell r="A715" t="str">
            <v>SALV</v>
          </cell>
        </row>
        <row r="716">
          <cell r="A716" t="str">
            <v>SAMN</v>
          </cell>
        </row>
        <row r="717">
          <cell r="A717" t="str">
            <v>SANFELIPE92</v>
          </cell>
        </row>
        <row r="718">
          <cell r="A718" t="str">
            <v>SantiamPac</v>
          </cell>
        </row>
        <row r="719">
          <cell r="A719" t="str">
            <v>Satsop230</v>
          </cell>
        </row>
        <row r="720">
          <cell r="A720" t="str">
            <v>Satsop230LD</v>
          </cell>
        </row>
        <row r="721">
          <cell r="A721" t="str">
            <v>SB211LOAD</v>
          </cell>
        </row>
        <row r="722">
          <cell r="A722" t="str">
            <v>SCG</v>
          </cell>
        </row>
        <row r="723">
          <cell r="A723" t="str">
            <v>SCL.SYSTEM</v>
          </cell>
        </row>
        <row r="724">
          <cell r="A724" t="str">
            <v>SCSE</v>
          </cell>
        </row>
        <row r="725">
          <cell r="A725" t="str">
            <v>SCSW</v>
          </cell>
        </row>
        <row r="726">
          <cell r="A726" t="str">
            <v>SCUTBANK</v>
          </cell>
        </row>
        <row r="727">
          <cell r="A727" t="str">
            <v>SEATAC</v>
          </cell>
        </row>
        <row r="728">
          <cell r="A728" t="str">
            <v>SELIGMAN230</v>
          </cell>
        </row>
        <row r="729">
          <cell r="A729" t="str">
            <v>SGE</v>
          </cell>
        </row>
        <row r="730">
          <cell r="A730" t="str">
            <v>SGW</v>
          </cell>
        </row>
        <row r="731">
          <cell r="A731" t="str">
            <v>SHCK</v>
          </cell>
        </row>
        <row r="732">
          <cell r="A732" t="str">
            <v>SHERIDAN</v>
          </cell>
        </row>
        <row r="733">
          <cell r="A733" t="str">
            <v>SHIPROCK115</v>
          </cell>
        </row>
        <row r="734">
          <cell r="A734" t="str">
            <v>SHIPROCK345</v>
          </cell>
        </row>
        <row r="735">
          <cell r="A735" t="str">
            <v>SHOWLOW69</v>
          </cell>
        </row>
        <row r="736">
          <cell r="A736" t="str">
            <v>SHR2</v>
          </cell>
        </row>
        <row r="737">
          <cell r="A737" t="str">
            <v>Sidney</v>
          </cell>
        </row>
        <row r="738">
          <cell r="A738" t="str">
            <v>SIG</v>
          </cell>
        </row>
        <row r="739">
          <cell r="A739" t="str">
            <v>SILVERKIN230</v>
          </cell>
        </row>
        <row r="740">
          <cell r="A740" t="str">
            <v>SILVERKIN500</v>
          </cell>
        </row>
        <row r="741">
          <cell r="A741" t="str">
            <v>SILVERPEAK55</v>
          </cell>
        </row>
        <row r="742">
          <cell r="A742" t="str">
            <v>SJ345</v>
          </cell>
        </row>
        <row r="743">
          <cell r="A743" t="str">
            <v>Slatt</v>
          </cell>
        </row>
        <row r="744">
          <cell r="A744" t="str">
            <v>SLATT230</v>
          </cell>
        </row>
        <row r="745">
          <cell r="A745" t="str">
            <v>SLATT230LD</v>
          </cell>
        </row>
        <row r="746">
          <cell r="A746" t="str">
            <v>SLV230</v>
          </cell>
        </row>
        <row r="747">
          <cell r="A747" t="str">
            <v>SLVA</v>
          </cell>
        </row>
        <row r="748">
          <cell r="A748" t="str">
            <v>SmithCreek</v>
          </cell>
        </row>
        <row r="749">
          <cell r="A749" t="str">
            <v>SMLK</v>
          </cell>
        </row>
        <row r="750">
          <cell r="A750" t="str">
            <v>SMUD.System</v>
          </cell>
        </row>
        <row r="751">
          <cell r="A751" t="str">
            <v>SNOH.PUD</v>
          </cell>
        </row>
        <row r="752">
          <cell r="A752" t="str">
            <v>Snohomish</v>
          </cell>
        </row>
        <row r="753">
          <cell r="A753" t="str">
            <v>SNWASYS</v>
          </cell>
        </row>
        <row r="754">
          <cell r="A754" t="str">
            <v>SOCO</v>
          </cell>
        </row>
        <row r="755">
          <cell r="A755" t="str">
            <v>South</v>
          </cell>
        </row>
        <row r="756">
          <cell r="A756" t="str">
            <v>SOUTHLOOP345</v>
          </cell>
        </row>
        <row r="757">
          <cell r="A757" t="str">
            <v>SOUTHTOLTGEN</v>
          </cell>
        </row>
        <row r="758">
          <cell r="A758" t="str">
            <v>SP_Newsprint</v>
          </cell>
        </row>
        <row r="759">
          <cell r="A759" t="str">
            <v>SP15</v>
          </cell>
        </row>
        <row r="760">
          <cell r="A760" t="str">
            <v>SP-15</v>
          </cell>
        </row>
        <row r="761">
          <cell r="A761" t="str">
            <v>SpgfldGenFrm</v>
          </cell>
        </row>
        <row r="762">
          <cell r="A762" t="str">
            <v>SPGR</v>
          </cell>
        </row>
        <row r="763">
          <cell r="A763" t="str">
            <v>SPI_CABO_GEN</v>
          </cell>
        </row>
        <row r="764">
          <cell r="A764" t="str">
            <v>SPOKANEWASTE</v>
          </cell>
        </row>
        <row r="765">
          <cell r="A765" t="str">
            <v>SPPC</v>
          </cell>
        </row>
        <row r="766">
          <cell r="A766" t="str">
            <v>SpringCreek</v>
          </cell>
        </row>
        <row r="767">
          <cell r="A767" t="str">
            <v>SPRINGER345</v>
          </cell>
        </row>
        <row r="768">
          <cell r="A768" t="str">
            <v>Springfield</v>
          </cell>
        </row>
        <row r="769">
          <cell r="A769" t="str">
            <v>SRP-SYSTEM</v>
          </cell>
        </row>
        <row r="770">
          <cell r="A770" t="str">
            <v>SS4</v>
          </cell>
        </row>
        <row r="771">
          <cell r="A771" t="str">
            <v>ST.PAUL</v>
          </cell>
        </row>
        <row r="772">
          <cell r="A772" t="str">
            <v>STANDIFORD</v>
          </cell>
        </row>
        <row r="773">
          <cell r="A773" t="str">
            <v>StarPoint</v>
          </cell>
        </row>
        <row r="774">
          <cell r="A774" t="str">
            <v>StateLineBPA</v>
          </cell>
        </row>
        <row r="775">
          <cell r="A775" t="str">
            <v>STDM</v>
          </cell>
        </row>
        <row r="776">
          <cell r="A776" t="str">
            <v>STORLK115</v>
          </cell>
        </row>
        <row r="777">
          <cell r="A777" t="str">
            <v>STVRN</v>
          </cell>
        </row>
        <row r="778">
          <cell r="A778" t="str">
            <v>STY</v>
          </cell>
        </row>
        <row r="779">
          <cell r="A779" t="str">
            <v>SUGARLOAF500</v>
          </cell>
        </row>
        <row r="780">
          <cell r="A780" t="str">
            <v>SUGARLOAF69</v>
          </cell>
        </row>
        <row r="781">
          <cell r="A781" t="str">
            <v>SUMAS</v>
          </cell>
        </row>
        <row r="782">
          <cell r="A782" t="str">
            <v>SumFalls</v>
          </cell>
        </row>
        <row r="783">
          <cell r="A783" t="str">
            <v>SUMMERLAKENT</v>
          </cell>
        </row>
        <row r="784">
          <cell r="A784" t="str">
            <v>SUMMIT120</v>
          </cell>
        </row>
        <row r="785">
          <cell r="A785" t="str">
            <v>Sunbeam</v>
          </cell>
        </row>
        <row r="786">
          <cell r="A786" t="str">
            <v>SUNDANCE</v>
          </cell>
        </row>
        <row r="787">
          <cell r="A787" t="str">
            <v>SUPERIOR115</v>
          </cell>
        </row>
        <row r="788">
          <cell r="A788" t="str">
            <v>SWR</v>
          </cell>
        </row>
        <row r="789">
          <cell r="A789" t="str">
            <v>SYLMAR</v>
          </cell>
        </row>
        <row r="790">
          <cell r="A790" t="str">
            <v>TAIBAN</v>
          </cell>
        </row>
        <row r="791">
          <cell r="A791" t="str">
            <v>Talbot</v>
          </cell>
        </row>
        <row r="792">
          <cell r="A792" t="str">
            <v>TANNER.AL</v>
          </cell>
        </row>
        <row r="793">
          <cell r="A793" t="str">
            <v>TANNER.LB</v>
          </cell>
        </row>
        <row r="794">
          <cell r="A794" t="str">
            <v>TANNER.NB</v>
          </cell>
        </row>
        <row r="795">
          <cell r="A795" t="str">
            <v>TAOS</v>
          </cell>
        </row>
        <row r="796">
          <cell r="A796" t="str">
            <v>TENASKA_GEN</v>
          </cell>
        </row>
        <row r="797">
          <cell r="A797" t="str">
            <v>TENDOY</v>
          </cell>
        </row>
        <row r="798">
          <cell r="A798" t="str">
            <v>TESLA230</v>
          </cell>
        </row>
        <row r="799">
          <cell r="A799" t="str">
            <v>TESLA500</v>
          </cell>
        </row>
        <row r="800">
          <cell r="A800" t="str">
            <v>TESORO449</v>
          </cell>
        </row>
        <row r="801">
          <cell r="A801" t="str">
            <v>TESTTRACK230</v>
          </cell>
        </row>
        <row r="802">
          <cell r="A802" t="str">
            <v>TESTTRACK69</v>
          </cell>
        </row>
        <row r="803">
          <cell r="A803" t="str">
            <v>THORNYDALE46</v>
          </cell>
        </row>
        <row r="804">
          <cell r="A804" t="str">
            <v>TID.SYSTEM</v>
          </cell>
        </row>
        <row r="805">
          <cell r="A805" t="str">
            <v>TIETON</v>
          </cell>
        </row>
        <row r="806">
          <cell r="A806" t="str">
            <v>Tillamook</v>
          </cell>
        </row>
        <row r="807">
          <cell r="A807" t="str">
            <v>TMK</v>
          </cell>
        </row>
        <row r="808">
          <cell r="A808" t="str">
            <v>TNDY</v>
          </cell>
        </row>
        <row r="809">
          <cell r="A809" t="str">
            <v>TNPSYS</v>
          </cell>
        </row>
        <row r="810">
          <cell r="A810" t="str">
            <v>TOLUCA</v>
          </cell>
        </row>
        <row r="811">
          <cell r="A811" t="str">
            <v>TONGUERIVER</v>
          </cell>
        </row>
        <row r="812">
          <cell r="A812" t="str">
            <v>TOPOCK230</v>
          </cell>
        </row>
        <row r="813">
          <cell r="A813" t="str">
            <v>TOT2AGW</v>
          </cell>
        </row>
        <row r="814">
          <cell r="A814" t="str">
            <v>TOT3GS</v>
          </cell>
        </row>
        <row r="815">
          <cell r="A815" t="str">
            <v>TOT5GW</v>
          </cell>
        </row>
        <row r="816">
          <cell r="A816" t="str">
            <v>TOWNSEND</v>
          </cell>
        </row>
        <row r="817">
          <cell r="A817" t="str">
            <v>TPWR.STAR</v>
          </cell>
        </row>
        <row r="818">
          <cell r="A818" t="str">
            <v>TROJAN</v>
          </cell>
        </row>
        <row r="819">
          <cell r="A819" t="str">
            <v>TRONA</v>
          </cell>
        </row>
        <row r="820">
          <cell r="A820" t="str">
            <v>Troutdale</v>
          </cell>
        </row>
        <row r="821">
          <cell r="A821" t="str">
            <v>TRY230</v>
          </cell>
        </row>
        <row r="822">
          <cell r="A822" t="str">
            <v>TRY500</v>
          </cell>
        </row>
        <row r="823">
          <cell r="A823" t="str">
            <v>TRY69</v>
          </cell>
        </row>
        <row r="824">
          <cell r="A824" t="str">
            <v>TSGTWSTATION</v>
          </cell>
        </row>
        <row r="825">
          <cell r="A825" t="str">
            <v>Tuolumne</v>
          </cell>
        </row>
        <row r="826">
          <cell r="A826" t="str">
            <v>TURQUOISE115</v>
          </cell>
        </row>
        <row r="827">
          <cell r="A827" t="str">
            <v>UINTA</v>
          </cell>
        </row>
        <row r="828">
          <cell r="A828" t="str">
            <v>UPLC</v>
          </cell>
        </row>
        <row r="829">
          <cell r="A829" t="str">
            <v>UPSK</v>
          </cell>
        </row>
        <row r="830">
          <cell r="A830" t="str">
            <v>VAIL345</v>
          </cell>
        </row>
        <row r="831">
          <cell r="A831" t="str">
            <v>VAL115</v>
          </cell>
        </row>
        <row r="832">
          <cell r="A832" t="str">
            <v>Vansycle</v>
          </cell>
        </row>
        <row r="833">
          <cell r="A833" t="str">
            <v>VEASYS</v>
          </cell>
        </row>
        <row r="834">
          <cell r="A834" t="str">
            <v>VEF</v>
          </cell>
        </row>
        <row r="835">
          <cell r="A835" t="str">
            <v>Vera</v>
          </cell>
        </row>
        <row r="836">
          <cell r="A836" t="str">
            <v>VICTORVILLE</v>
          </cell>
        </row>
        <row r="837">
          <cell r="A837" t="str">
            <v>VILA</v>
          </cell>
        </row>
        <row r="838">
          <cell r="A838" t="str">
            <v>VNL</v>
          </cell>
        </row>
        <row r="839">
          <cell r="A839" t="str">
            <v>VUL</v>
          </cell>
        </row>
        <row r="840">
          <cell r="A840" t="str">
            <v>WACM-WEST</v>
          </cell>
        </row>
        <row r="841">
          <cell r="A841" t="str">
            <v>WACMWSTATION</v>
          </cell>
        </row>
        <row r="842">
          <cell r="A842" t="str">
            <v>WALC.SYS</v>
          </cell>
        </row>
        <row r="843">
          <cell r="A843" t="str">
            <v>WALLAWALLA</v>
          </cell>
        </row>
        <row r="844">
          <cell r="A844" t="str">
            <v>WALNUT</v>
          </cell>
        </row>
        <row r="845">
          <cell r="A845" t="str">
            <v>WALT</v>
          </cell>
        </row>
        <row r="846">
          <cell r="A846" t="str">
            <v>Wasco</v>
          </cell>
        </row>
        <row r="847">
          <cell r="A847" t="str">
            <v>WASN.SYSTEM</v>
          </cell>
        </row>
        <row r="848">
          <cell r="A848" t="str">
            <v>WEED</v>
          </cell>
        </row>
        <row r="849">
          <cell r="A849" t="str">
            <v>West</v>
          </cell>
        </row>
        <row r="850">
          <cell r="A850" t="str">
            <v>WESTLEY</v>
          </cell>
        </row>
        <row r="851">
          <cell r="A851" t="str">
            <v>WESTPHX230</v>
          </cell>
        </row>
        <row r="852">
          <cell r="A852" t="str">
            <v>WestValley</v>
          </cell>
        </row>
        <row r="853">
          <cell r="A853" t="str">
            <v>WESTWING230</v>
          </cell>
        </row>
        <row r="854">
          <cell r="A854" t="str">
            <v>WESTWING345</v>
          </cell>
        </row>
        <row r="855">
          <cell r="A855" t="str">
            <v>WESTWING500</v>
          </cell>
        </row>
        <row r="856">
          <cell r="A856" t="str">
            <v>Weyerhauser2</v>
          </cell>
        </row>
        <row r="857">
          <cell r="A857" t="str">
            <v>WFDE</v>
          </cell>
        </row>
        <row r="858">
          <cell r="A858" t="str">
            <v>Wheatfield</v>
          </cell>
        </row>
        <row r="859">
          <cell r="A859" t="str">
            <v>WheatfieldLD</v>
          </cell>
        </row>
        <row r="860">
          <cell r="A860" t="str">
            <v>WhtCrkWind</v>
          </cell>
        </row>
        <row r="861">
          <cell r="A861" t="str">
            <v>WhtCrkWindLD</v>
          </cell>
        </row>
        <row r="862">
          <cell r="A862" t="str">
            <v>WHY230</v>
          </cell>
        </row>
        <row r="863">
          <cell r="A863" t="str">
            <v>WILC</v>
          </cell>
        </row>
        <row r="864">
          <cell r="A864" t="str">
            <v>WILLARD115</v>
          </cell>
        </row>
        <row r="865">
          <cell r="A865" t="str">
            <v>WILLIAMS69</v>
          </cell>
        </row>
        <row r="866">
          <cell r="A866" t="str">
            <v>WillowCreek</v>
          </cell>
        </row>
        <row r="867">
          <cell r="A867" t="str">
            <v>WINCHESTR345</v>
          </cell>
        </row>
        <row r="868">
          <cell r="A868" t="str">
            <v>WINDRIDGE</v>
          </cell>
        </row>
        <row r="869">
          <cell r="A869" t="str">
            <v>WINTERHAVEN</v>
          </cell>
        </row>
        <row r="870">
          <cell r="A870" t="str">
            <v>WM115</v>
          </cell>
        </row>
        <row r="871">
          <cell r="A871" t="str">
            <v>WM345</v>
          </cell>
        </row>
        <row r="872">
          <cell r="A872" t="str">
            <v>WOODLANDTAP</v>
          </cell>
        </row>
        <row r="873">
          <cell r="A873" t="str">
            <v>WPE</v>
          </cell>
        </row>
        <row r="874">
          <cell r="A874" t="str">
            <v>WPEnergizer</v>
          </cell>
        </row>
        <row r="875">
          <cell r="A875" t="str">
            <v>WRAY</v>
          </cell>
        </row>
        <row r="876">
          <cell r="A876" t="str">
            <v>WRS</v>
          </cell>
        </row>
        <row r="877">
          <cell r="A877" t="str">
            <v>WSTAR</v>
          </cell>
        </row>
        <row r="878">
          <cell r="A878" t="str">
            <v>WY69</v>
          </cell>
        </row>
        <row r="879">
          <cell r="A879" t="str">
            <v>Wynoochee</v>
          </cell>
        </row>
        <row r="880">
          <cell r="A880" t="str">
            <v>WYOCENTRAL</v>
          </cell>
        </row>
        <row r="881">
          <cell r="A881" t="str">
            <v>WYODAK</v>
          </cell>
        </row>
        <row r="882">
          <cell r="A882" t="str">
            <v>WYOEAST</v>
          </cell>
        </row>
        <row r="883">
          <cell r="A883" t="str">
            <v>WYONORTH</v>
          </cell>
        </row>
        <row r="884">
          <cell r="A884" t="str">
            <v>YakamaDPGen</v>
          </cell>
        </row>
        <row r="885">
          <cell r="A885" t="str">
            <v>Yakima</v>
          </cell>
        </row>
        <row r="886">
          <cell r="A886" t="str">
            <v>YakimaPac</v>
          </cell>
        </row>
        <row r="887">
          <cell r="A887" t="str">
            <v>Yamsay230</v>
          </cell>
        </row>
        <row r="888">
          <cell r="A888" t="str">
            <v>YATH</v>
          </cell>
        </row>
        <row r="889">
          <cell r="A889" t="str">
            <v>YEW</v>
          </cell>
        </row>
        <row r="890">
          <cell r="A890" t="str">
            <v>YOCN</v>
          </cell>
        </row>
        <row r="891">
          <cell r="A891" t="str">
            <v>YT115</v>
          </cell>
        </row>
        <row r="892">
          <cell r="A892" t="str">
            <v>YTP</v>
          </cell>
        </row>
        <row r="893">
          <cell r="A893" t="str">
            <v>YTW</v>
          </cell>
        </row>
        <row r="894">
          <cell r="A894" t="str">
            <v>YUCCA</v>
          </cell>
        </row>
        <row r="895">
          <cell r="A895" t="str">
            <v>YUCCA69</v>
          </cell>
        </row>
        <row r="896">
          <cell r="A896" t="str">
            <v>ZP26</v>
          </cell>
        </row>
      </sheetData>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ks2008"/>
      <sheetName val="peakbyagency"/>
      <sheetName val="LU"/>
      <sheetName val="copkdata"/>
      <sheetName val="planreanel"/>
      <sheetName val="BApeakTable"/>
      <sheetName val="BApeakTable1in20"/>
      <sheetName val="BApeakTable1in10"/>
      <sheetName val="BApeakTable1in5"/>
      <sheetName val="BANELTable"/>
      <sheetName val="nelbyagency"/>
      <sheetName val="salesbyagency"/>
      <sheetName val="qfer"/>
      <sheetName val="baynb"/>
      <sheetName val="Sheet1"/>
    </sheetNames>
    <sheetDataSet>
      <sheetData sheetId="0"/>
      <sheetData sheetId="1"/>
      <sheetData sheetId="2"/>
      <sheetData sheetId="3"/>
      <sheetData sheetId="4">
        <row r="4">
          <cell r="B4">
            <v>2007</v>
          </cell>
        </row>
      </sheetData>
      <sheetData sheetId="5"/>
      <sheetData sheetId="6"/>
      <sheetData sheetId="7">
        <row r="93">
          <cell r="A93" t="str">
            <v>Control Area</v>
          </cell>
          <cell r="B93" t="str">
            <v>onein5</v>
          </cell>
          <cell r="C93" t="str">
            <v>1-in-10</v>
          </cell>
          <cell r="D93" t="str">
            <v>1-in-20</v>
          </cell>
        </row>
        <row r="94">
          <cell r="A94" t="str">
            <v>PGE</v>
          </cell>
          <cell r="B94">
            <v>1.0569999999999999</v>
          </cell>
          <cell r="C94">
            <v>1.073</v>
          </cell>
          <cell r="D94">
            <v>1.087</v>
          </cell>
        </row>
        <row r="95">
          <cell r="A95" t="str">
            <v>SCE</v>
          </cell>
          <cell r="B95">
            <v>1.0680000000000001</v>
          </cell>
          <cell r="C95">
            <v>1.0880000000000001</v>
          </cell>
          <cell r="D95">
            <v>1.1040000000000001</v>
          </cell>
        </row>
        <row r="96">
          <cell r="A96" t="str">
            <v>SDGE</v>
          </cell>
          <cell r="B96">
            <v>1.0780000000000001</v>
          </cell>
          <cell r="C96">
            <v>1.1000000000000001</v>
          </cell>
          <cell r="D96">
            <v>1.119</v>
          </cell>
        </row>
        <row r="97">
          <cell r="A97" t="str">
            <v>LADWP</v>
          </cell>
          <cell r="B97">
            <v>1.0663</v>
          </cell>
          <cell r="C97">
            <v>1.0851</v>
          </cell>
          <cell r="D97">
            <v>1.1013999999999999</v>
          </cell>
        </row>
        <row r="98">
          <cell r="A98" t="str">
            <v>SMUD</v>
          </cell>
          <cell r="B98">
            <v>1.0724899999999999</v>
          </cell>
          <cell r="C98">
            <v>1.09301</v>
          </cell>
          <cell r="D98">
            <v>1.11083</v>
          </cell>
        </row>
        <row r="99">
          <cell r="A99" t="str">
            <v>TID</v>
          </cell>
          <cell r="B99">
            <v>1.0527599999999999</v>
          </cell>
          <cell r="C99">
            <v>1.0677000000000001</v>
          </cell>
          <cell r="D99">
            <v>1.08066</v>
          </cell>
        </row>
        <row r="100">
          <cell r="A100" t="str">
            <v>IID</v>
          </cell>
          <cell r="B100">
            <v>1.0676000000000001</v>
          </cell>
          <cell r="C100">
            <v>1.0780000000000001</v>
          </cell>
          <cell r="D100">
            <v>1.117</v>
          </cell>
        </row>
        <row r="101">
          <cell r="A101" t="str">
            <v>LADWPBA</v>
          </cell>
          <cell r="B101">
            <v>1.07633</v>
          </cell>
          <cell r="C101">
            <v>1.0979399999999999</v>
          </cell>
          <cell r="D101">
            <v>1.1167</v>
          </cell>
        </row>
        <row r="102">
          <cell r="A102" t="str">
            <v>SMUDBA</v>
          </cell>
          <cell r="B102">
            <v>1.0710999999999999</v>
          </cell>
          <cell r="C102">
            <v>1.0912299999999999</v>
          </cell>
          <cell r="D102">
            <v>1.1087</v>
          </cell>
        </row>
        <row r="103">
          <cell r="A103" t="str">
            <v>TID</v>
          </cell>
          <cell r="B103">
            <v>1.0653900000000001</v>
          </cell>
          <cell r="C103">
            <v>1.0839000000000001</v>
          </cell>
          <cell r="D103">
            <v>1.0999699999999999</v>
          </cell>
        </row>
        <row r="104">
          <cell r="A104" t="str">
            <v>SP26</v>
          </cell>
          <cell r="B104">
            <v>1.0730999999999999</v>
          </cell>
          <cell r="C104">
            <v>1.09379</v>
          </cell>
          <cell r="D104">
            <v>1.11175</v>
          </cell>
        </row>
        <row r="105">
          <cell r="A105" t="str">
            <v>GBAY</v>
          </cell>
          <cell r="B105">
            <v>1.0579099999999999</v>
          </cell>
          <cell r="C105">
            <v>1.0743100000000001</v>
          </cell>
          <cell r="D105">
            <v>1.0885400000000001</v>
          </cell>
        </row>
        <row r="106">
          <cell r="A106" t="str">
            <v>BCVTOTAL</v>
          </cell>
          <cell r="B106">
            <v>1.054</v>
          </cell>
          <cell r="C106">
            <v>1.069</v>
          </cell>
          <cell r="D106">
            <v>1.0820000000000001</v>
          </cell>
        </row>
        <row r="107">
          <cell r="A107" t="str">
            <v>labasinlra</v>
          </cell>
          <cell r="B107">
            <v>1.077</v>
          </cell>
          <cell r="C107">
            <v>1.0980000000000001</v>
          </cell>
          <cell r="D107">
            <v>1.117</v>
          </cell>
        </row>
        <row r="108">
          <cell r="C108">
            <v>0</v>
          </cell>
        </row>
      </sheetData>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nergy.ca.gov/2015_energypolicy/documents/2016-01-27_load_serving_entity_and_Balencing_authority.php"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energy.ca.gov/2015_energypolicy/documents/2016-01-27_load_serving_entity_and_Balencing_authority.php"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rc.gov/info-finder/reactors/diab2.html" TargetMode="External"/><Relationship Id="rId1" Type="http://schemas.openxmlformats.org/officeDocument/2006/relationships/hyperlink" Target="https://www.nrc.gov/info-finder/reactors/diab1.html" TargetMode="External"/></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pacificorp.com/content/dam/pacificorp/doc/Energy_Sources/Integrated_Resource_Plan/2015%20IRP%20Update/2015_IRP_Update_Projected_Energy_Mix.pdf" TargetMode="External"/><Relationship Id="rId1" Type="http://schemas.openxmlformats.org/officeDocument/2006/relationships/hyperlink" Target="http://www.pacificorp.com/content/dam/pacificorp/doc/Energy_Sources/Integrated_Resource_Plan/2015%20IRP%20Update/2015_IRP_Update_Load_Forecast.pdf"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www.siliconvalleypower.com/svp-and-community/about-svp/utility-fact-shee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anzaelectric.org/sites/anzaelectric/files/PDF/12-16%20RUS%20FORM%207%20STMT%20OF%20OPERATION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ColWidth="8.88671875" defaultRowHeight="14.4" x14ac:dyDescent="0.3"/>
  <cols>
    <col min="1" max="1" width="111.33203125" style="121" customWidth="1"/>
    <col min="2" max="16384" width="8.88671875" style="121"/>
  </cols>
  <sheetData>
    <row r="1" spans="1:1" ht="60.6" x14ac:dyDescent="0.3">
      <c r="A1" s="134" t="s">
        <v>270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zoomScaleNormal="100"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65</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152025.61874394823</v>
      </c>
      <c r="C3" s="65">
        <f>B3*(1+$N$8)</f>
        <v>152649.87402571586</v>
      </c>
      <c r="D3" s="65">
        <f>C3*(1+$N$8)</f>
        <v>153276.69265608248</v>
      </c>
      <c r="E3" s="65">
        <f>D3*(1+$N$8)</f>
        <v>153906.08516079967</v>
      </c>
      <c r="F3" s="65">
        <f>E3*(1+$N$8)</f>
        <v>154538.06210884044</v>
      </c>
      <c r="G3" s="65">
        <f>F3*(1+$N$8)</f>
        <v>155172.6341125766</v>
      </c>
      <c r="H3" s="65">
        <f t="shared" ref="H3:K4" si="0">G3*(1+$N$8)</f>
        <v>155809.81182795708</v>
      </c>
      <c r="I3" s="65">
        <f t="shared" si="0"/>
        <v>156449.60595468676</v>
      </c>
      <c r="J3" s="65">
        <f t="shared" si="0"/>
        <v>157092.0272364062</v>
      </c>
      <c r="K3" s="65">
        <f t="shared" si="0"/>
        <v>157737.08646087203</v>
      </c>
      <c r="L3" s="84" t="s">
        <v>210</v>
      </c>
      <c r="N3" s="62">
        <v>0.91839999999999999</v>
      </c>
      <c r="O3" s="8" t="s">
        <v>199</v>
      </c>
    </row>
    <row r="4" spans="1:18" s="58" customFormat="1" ht="57.6" x14ac:dyDescent="0.3">
      <c r="A4" s="99" t="s">
        <v>167</v>
      </c>
      <c r="B4" s="61">
        <f>SUMIFS('Form 1.1c'!J:J, 'Form 1.1c'!$B:$B, "City of Banning")*1000</f>
        <v>152000</v>
      </c>
      <c r="C4" s="61">
        <f>SUMIFS('Form 1.1c'!K:K, 'Form 1.1c'!$B:$B, "City of Banning")*1000</f>
        <v>153000</v>
      </c>
      <c r="D4" s="61">
        <f>SUMIFS('Form 1.1c'!L:L, 'Form 1.1c'!$B:$B, "City of Banning")*1000</f>
        <v>153000</v>
      </c>
      <c r="E4" s="61">
        <f>SUMIFS('Form 1.1c'!M:M, 'Form 1.1c'!$B:$B, "City of Banning")*1000</f>
        <v>153000</v>
      </c>
      <c r="F4" s="61">
        <f>SUMIFS('Form 1.1c'!N:N, 'Form 1.1c'!$B:$B, "City of Banning")*1000</f>
        <v>154000</v>
      </c>
      <c r="G4" s="61">
        <f>SUMIFS('Form 1.1c'!O:O, 'Form 1.1c'!$B:$B, "City of Banning")*1000</f>
        <v>154000</v>
      </c>
      <c r="H4" s="65">
        <f>AVERAGE(E4:G4)*(1+$N$8)</f>
        <v>154297.66050238232</v>
      </c>
      <c r="I4" s="61">
        <f t="shared" si="0"/>
        <v>154931.24535688787</v>
      </c>
      <c r="J4" s="61">
        <f t="shared" si="0"/>
        <v>155567.43186955564</v>
      </c>
      <c r="K4" s="61">
        <f t="shared" si="0"/>
        <v>156206.23072344594</v>
      </c>
      <c r="L4" s="84" t="s">
        <v>211</v>
      </c>
      <c r="N4" s="68">
        <f>0.15</f>
        <v>0.15</v>
      </c>
      <c r="O4" s="84" t="s">
        <v>165</v>
      </c>
    </row>
    <row r="5" spans="1:18" s="58" customFormat="1" ht="28.8" x14ac:dyDescent="0.3">
      <c r="A5" s="99" t="s">
        <v>191</v>
      </c>
      <c r="B5" s="61">
        <f>IF(0&lt;($C$3-$C$4)/$C$3,B4,B3*(1-$N$5))</f>
        <v>141383.82543187184</v>
      </c>
      <c r="C5" s="61">
        <f>IF(0&lt;($C$3-$C$4)/$C$3,C4,C3*(1-$N$5))</f>
        <v>141964.38284391575</v>
      </c>
      <c r="D5" s="61">
        <f t="shared" ref="D5:K5" si="1">IF(0&lt;($C$3-$C$4)/$C$3,D4,D3*(1-$N$5))</f>
        <v>142547.3241701567</v>
      </c>
      <c r="E5" s="61">
        <f t="shared" si="1"/>
        <v>143132.65919954368</v>
      </c>
      <c r="F5" s="61">
        <f t="shared" si="1"/>
        <v>143720.3977612216</v>
      </c>
      <c r="G5" s="61">
        <f t="shared" si="1"/>
        <v>144310.54972469623</v>
      </c>
      <c r="H5" s="61">
        <f t="shared" si="1"/>
        <v>144903.12500000006</v>
      </c>
      <c r="I5" s="61">
        <f t="shared" si="1"/>
        <v>145498.13353785867</v>
      </c>
      <c r="J5" s="61">
        <f t="shared" si="1"/>
        <v>146095.58532985774</v>
      </c>
      <c r="K5" s="61">
        <f t="shared" si="1"/>
        <v>146695.49040861099</v>
      </c>
      <c r="L5" s="84" t="s">
        <v>271</v>
      </c>
      <c r="N5" s="68">
        <f>0.07</f>
        <v>7.0000000000000007E-2</v>
      </c>
      <c r="O5" s="84" t="s">
        <v>275</v>
      </c>
    </row>
    <row r="6" spans="1:18" s="58" customFormat="1" ht="28.8" x14ac:dyDescent="0.3">
      <c r="A6" s="99" t="s">
        <v>168</v>
      </c>
      <c r="B6" s="61">
        <v>0</v>
      </c>
      <c r="C6" s="61">
        <v>0</v>
      </c>
      <c r="D6" s="61">
        <v>0</v>
      </c>
      <c r="E6" s="61">
        <v>0</v>
      </c>
      <c r="F6" s="61">
        <v>0</v>
      </c>
      <c r="G6" s="61">
        <v>0</v>
      </c>
      <c r="H6" s="61">
        <v>0</v>
      </c>
      <c r="I6" s="61">
        <v>0</v>
      </c>
      <c r="J6" s="61">
        <v>0</v>
      </c>
      <c r="K6" s="61">
        <v>0</v>
      </c>
      <c r="L6" s="112" t="s">
        <v>237</v>
      </c>
      <c r="N6" s="63">
        <v>0.05</v>
      </c>
      <c r="O6" s="84" t="s">
        <v>200</v>
      </c>
    </row>
    <row r="7" spans="1:18" s="58" customFormat="1" ht="28.8" x14ac:dyDescent="0.3">
      <c r="A7" s="99" t="s">
        <v>169</v>
      </c>
      <c r="B7" s="61">
        <v>19000</v>
      </c>
      <c r="C7" s="61">
        <f>B7</f>
        <v>19000</v>
      </c>
      <c r="D7" s="61">
        <f t="shared" ref="D7:K8" si="2">C7</f>
        <v>19000</v>
      </c>
      <c r="E7" s="61">
        <f t="shared" si="2"/>
        <v>19000</v>
      </c>
      <c r="F7" s="61">
        <f t="shared" si="2"/>
        <v>19000</v>
      </c>
      <c r="G7" s="61">
        <f t="shared" si="2"/>
        <v>19000</v>
      </c>
      <c r="H7" s="61">
        <f t="shared" si="2"/>
        <v>19000</v>
      </c>
      <c r="I7" s="61">
        <f t="shared" si="2"/>
        <v>19000</v>
      </c>
      <c r="J7" s="61">
        <f t="shared" si="2"/>
        <v>19000</v>
      </c>
      <c r="K7" s="61">
        <f t="shared" si="2"/>
        <v>19000</v>
      </c>
      <c r="L7" s="84" t="s">
        <v>238</v>
      </c>
      <c r="O7" s="101"/>
    </row>
    <row r="8" spans="1:18" s="58" customFormat="1" x14ac:dyDescent="0.3">
      <c r="A8" s="99" t="s">
        <v>170</v>
      </c>
      <c r="B8" s="61">
        <v>2000</v>
      </c>
      <c r="C8" s="65">
        <f>B8</f>
        <v>2000</v>
      </c>
      <c r="D8" s="65">
        <f t="shared" si="2"/>
        <v>2000</v>
      </c>
      <c r="E8" s="65">
        <f t="shared" si="2"/>
        <v>2000</v>
      </c>
      <c r="F8" s="65">
        <f t="shared" si="2"/>
        <v>2000</v>
      </c>
      <c r="G8" s="65">
        <f t="shared" si="2"/>
        <v>2000</v>
      </c>
      <c r="H8" s="65">
        <f t="shared" si="2"/>
        <v>2000</v>
      </c>
      <c r="I8" s="65">
        <f t="shared" si="2"/>
        <v>2000</v>
      </c>
      <c r="J8" s="65">
        <f t="shared" si="2"/>
        <v>2000</v>
      </c>
      <c r="K8" s="65">
        <f t="shared" si="2"/>
        <v>2000</v>
      </c>
      <c r="L8" s="84" t="s">
        <v>236</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42415.14762956155</v>
      </c>
      <c r="C10" s="61">
        <f t="shared" ref="C10:K10" si="3">C5*C9</f>
        <v>44008.958681613884</v>
      </c>
      <c r="D10" s="61">
        <f t="shared" si="3"/>
        <v>47040.616976151716</v>
      </c>
      <c r="E10" s="61">
        <f t="shared" si="3"/>
        <v>50096.430719840282</v>
      </c>
      <c r="F10" s="61">
        <f t="shared" si="3"/>
        <v>53176.54717165199</v>
      </c>
      <c r="G10" s="61">
        <f t="shared" si="3"/>
        <v>54838.00889538457</v>
      </c>
      <c r="H10" s="61">
        <f t="shared" si="3"/>
        <v>57961.250000000029</v>
      </c>
      <c r="I10" s="61">
        <f t="shared" si="3"/>
        <v>61109.21608590064</v>
      </c>
      <c r="J10" s="61">
        <f t="shared" si="3"/>
        <v>62821.101691838827</v>
      </c>
      <c r="K10" s="61">
        <f t="shared" si="3"/>
        <v>66012.970683874941</v>
      </c>
      <c r="L10" s="84" t="s">
        <v>376</v>
      </c>
      <c r="N10" s="122"/>
      <c r="O10" s="60"/>
    </row>
    <row r="11" spans="1:18" s="58" customFormat="1" ht="28.8" x14ac:dyDescent="0.3">
      <c r="A11" s="99" t="s">
        <v>172</v>
      </c>
      <c r="B11" s="61">
        <f t="shared" ref="B11:K11" si="4">MAX(B3-SUM(B6:B8,B10), B3*$N$6)</f>
        <v>88610.471114386688</v>
      </c>
      <c r="C11" s="61">
        <f t="shared" si="4"/>
        <v>87640.915344101988</v>
      </c>
      <c r="D11" s="61">
        <f t="shared" si="4"/>
        <v>85236.075679930771</v>
      </c>
      <c r="E11" s="61">
        <f t="shared" si="4"/>
        <v>82809.654440959392</v>
      </c>
      <c r="F11" s="61">
        <f t="shared" si="4"/>
        <v>80361.514937188447</v>
      </c>
      <c r="G11" s="61">
        <f t="shared" si="4"/>
        <v>79334.625217192035</v>
      </c>
      <c r="H11" s="61">
        <f t="shared" si="4"/>
        <v>76848.561827957048</v>
      </c>
      <c r="I11" s="61">
        <f t="shared" si="4"/>
        <v>74340.389868786122</v>
      </c>
      <c r="J11" s="61">
        <f t="shared" si="4"/>
        <v>73270.925544567377</v>
      </c>
      <c r="K11" s="61">
        <f t="shared" si="4"/>
        <v>70724.115776997089</v>
      </c>
      <c r="L11" s="84" t="s">
        <v>203</v>
      </c>
    </row>
    <row r="12" spans="1:18" s="58" customFormat="1" ht="43.8" x14ac:dyDescent="0.35">
      <c r="A12" s="99" t="s">
        <v>194</v>
      </c>
      <c r="B12" s="61">
        <f t="shared" ref="B12:K12" si="5">B6*$N$3+B11*$N$2</f>
        <v>38580.999123203968</v>
      </c>
      <c r="C12" s="61">
        <f t="shared" si="5"/>
        <v>38158.854540822009</v>
      </c>
      <c r="D12" s="61">
        <f t="shared" si="5"/>
        <v>37111.787351041858</v>
      </c>
      <c r="E12" s="61">
        <f t="shared" si="5"/>
        <v>36055.323543593717</v>
      </c>
      <c r="F12" s="61">
        <f t="shared" si="5"/>
        <v>34989.403603651852</v>
      </c>
      <c r="G12" s="61">
        <f t="shared" si="5"/>
        <v>34542.295819565414</v>
      </c>
      <c r="H12" s="61">
        <f t="shared" si="5"/>
        <v>33459.863819892496</v>
      </c>
      <c r="I12" s="61">
        <f t="shared" si="5"/>
        <v>32367.805748869479</v>
      </c>
      <c r="J12" s="61">
        <f t="shared" si="5"/>
        <v>31902.160982104637</v>
      </c>
      <c r="K12" s="61">
        <f t="shared" si="5"/>
        <v>30793.280009304533</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0.25377958953210827</v>
      </c>
      <c r="C14" s="80">
        <f t="shared" si="6"/>
        <v>0.24997632513207088</v>
      </c>
      <c r="D14" s="80">
        <f t="shared" si="6"/>
        <v>0.24212283490688399</v>
      </c>
      <c r="E14" s="80">
        <f t="shared" si="6"/>
        <v>0.23426834296982763</v>
      </c>
      <c r="F14" s="80">
        <f t="shared" si="6"/>
        <v>0.22641285341736056</v>
      </c>
      <c r="G14" s="80">
        <f t="shared" si="6"/>
        <v>0.22260559032918931</v>
      </c>
      <c r="H14" s="80">
        <f t="shared" si="6"/>
        <v>0.21474811776833663</v>
      </c>
      <c r="I14" s="80">
        <f t="shared" si="6"/>
        <v>0.20688965978120979</v>
      </c>
      <c r="J14" s="80">
        <f t="shared" si="6"/>
        <v>0.20307944039766829</v>
      </c>
      <c r="K14" s="80">
        <f t="shared" si="6"/>
        <v>0.19521902363109173</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38580.999123203968</v>
      </c>
      <c r="C16" s="81">
        <f t="shared" si="8"/>
        <v>38158.854540822009</v>
      </c>
      <c r="D16" s="81">
        <f t="shared" si="8"/>
        <v>37111.787351041858</v>
      </c>
      <c r="E16" s="81">
        <f t="shared" si="8"/>
        <v>36055.323543593717</v>
      </c>
      <c r="F16" s="81">
        <f t="shared" si="8"/>
        <v>34989.403603651852</v>
      </c>
      <c r="G16" s="81">
        <f t="shared" si="8"/>
        <v>34542.295819565414</v>
      </c>
      <c r="H16" s="81">
        <f t="shared" si="8"/>
        <v>33459.863819892496</v>
      </c>
      <c r="I16" s="81">
        <f t="shared" si="8"/>
        <v>32367.805748869479</v>
      </c>
      <c r="J16" s="81">
        <f t="shared" si="8"/>
        <v>31902.160982104637</v>
      </c>
      <c r="K16" s="81">
        <f t="shared" si="8"/>
        <v>30793.280009304533</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12" max="12" width="49.33203125" customWidth="1"/>
    <col min="15" max="15" width="36.5546875" customWidth="1"/>
  </cols>
  <sheetData>
    <row r="1" spans="1:15" s="58" customFormat="1" x14ac:dyDescent="0.3">
      <c r="A1" s="97" t="s">
        <v>44</v>
      </c>
      <c r="B1" s="199" t="s">
        <v>173</v>
      </c>
      <c r="C1" s="200"/>
      <c r="D1" s="200"/>
      <c r="E1" s="200"/>
      <c r="F1" s="200"/>
      <c r="G1" s="200"/>
      <c r="H1" s="200"/>
      <c r="I1" s="200"/>
      <c r="J1" s="200"/>
      <c r="K1" s="200"/>
      <c r="L1" s="201"/>
      <c r="N1" s="202" t="s">
        <v>193</v>
      </c>
      <c r="O1" s="203"/>
    </row>
    <row r="2" spans="1:15" s="58" customFormat="1" x14ac:dyDescent="0.3">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248</v>
      </c>
    </row>
    <row r="3" spans="1:15" s="58" customFormat="1" ht="72.599999999999994" x14ac:dyDescent="0.35">
      <c r="A3" s="99" t="s">
        <v>166</v>
      </c>
      <c r="B3" s="61">
        <v>16115.447175401969</v>
      </c>
      <c r="C3" s="61">
        <v>16105.732343652451</v>
      </c>
      <c r="D3" s="61">
        <v>16099.567308846808</v>
      </c>
      <c r="E3" s="61">
        <v>16097.615999999998</v>
      </c>
      <c r="F3" s="61">
        <v>16097.615999999998</v>
      </c>
      <c r="G3" s="61">
        <v>16097.615999999998</v>
      </c>
      <c r="H3" s="65">
        <f>AVERAGE(E3:G3)*(1+$N$8)</f>
        <v>16163.199680205638</v>
      </c>
      <c r="I3" s="65">
        <f t="shared" ref="I3:K4" si="0">H3*(1+$N$8)</f>
        <v>16229.050556442622</v>
      </c>
      <c r="J3" s="65">
        <f t="shared" si="0"/>
        <v>16295.169717300656</v>
      </c>
      <c r="K3" s="65">
        <f t="shared" si="0"/>
        <v>16361.558255804497</v>
      </c>
      <c r="L3" s="84" t="s">
        <v>254</v>
      </c>
      <c r="N3" s="62">
        <v>0.91839999999999999</v>
      </c>
      <c r="O3" s="8" t="s">
        <v>199</v>
      </c>
    </row>
    <row r="4" spans="1:15" s="58" customFormat="1" ht="57.6" x14ac:dyDescent="0.3">
      <c r="A4" s="99" t="s">
        <v>167</v>
      </c>
      <c r="B4" s="61">
        <f>SUMIFS('Form 1.1c'!J:J, 'Form 1.1c'!$B:$B, "City of Biggs")*1000</f>
        <v>16000</v>
      </c>
      <c r="C4" s="61">
        <f>SUMIFS('Form 1.1c'!K:K, 'Form 1.1c'!$B:$B, "City of Biggs")*1000</f>
        <v>16000</v>
      </c>
      <c r="D4" s="61">
        <f>SUMIFS('Form 1.1c'!L:L, 'Form 1.1c'!$B:$B, "City of Biggs")*1000</f>
        <v>16000</v>
      </c>
      <c r="E4" s="61">
        <f>SUMIFS('Form 1.1c'!M:M, 'Form 1.1c'!$B:$B, "City of Biggs")*1000</f>
        <v>16000</v>
      </c>
      <c r="F4" s="61">
        <f>SUMIFS('Form 1.1c'!N:N, 'Form 1.1c'!$B:$B, "City of Biggs")*1000</f>
        <v>16000</v>
      </c>
      <c r="G4" s="61">
        <f>SUMIFS('Form 1.1c'!O:O, 'Form 1.1c'!$B:$B, "City of Biggs")*1000</f>
        <v>17000</v>
      </c>
      <c r="H4" s="65">
        <f>AVERAGE(E4:G4)*(1+$N$8)</f>
        <v>16399.877355132925</v>
      </c>
      <c r="I4" s="61">
        <f t="shared" si="0"/>
        <v>16466.692485514388</v>
      </c>
      <c r="J4" s="61">
        <f t="shared" si="0"/>
        <v>16533.779829007646</v>
      </c>
      <c r="K4" s="61">
        <f t="shared" si="0"/>
        <v>16601.140494642612</v>
      </c>
      <c r="L4" s="84" t="s">
        <v>211</v>
      </c>
      <c r="N4" s="68">
        <f>0.15</f>
        <v>0.15</v>
      </c>
      <c r="O4" s="59" t="s">
        <v>165</v>
      </c>
    </row>
    <row r="5" spans="1:15" s="58" customFormat="1" ht="28.8" x14ac:dyDescent="0.3">
      <c r="A5" s="99" t="s">
        <v>191</v>
      </c>
      <c r="B5" s="61">
        <f>IF(0&lt;($G$3-$G$4)/$G$3,B4,B3*(1-$N$5))</f>
        <v>14987.36587312383</v>
      </c>
      <c r="C5" s="61">
        <f t="shared" ref="C5" si="1">IF(0&lt;($G$3-$G$4)/$G$3,C4,C3*(1-$N$5))</f>
        <v>14978.331079596779</v>
      </c>
      <c r="D5" s="61">
        <f t="shared" ref="D5" si="2">IF(0&lt;($G$3-$G$4)/$G$3,D4,D3*(1-$N$5))</f>
        <v>14972.59759722753</v>
      </c>
      <c r="E5" s="61">
        <f t="shared" ref="E5" si="3">IF(0&lt;($G$3-$G$4)/$G$3,E4,E3*(1-$N$5))</f>
        <v>14970.782879999997</v>
      </c>
      <c r="F5" s="61">
        <f t="shared" ref="F5" si="4">IF(0&lt;($G$3-$G$4)/$G$3,F4,F3*(1-$N$5))</f>
        <v>14970.782879999997</v>
      </c>
      <c r="G5" s="61">
        <f>IF(0&lt;($G$3-$G$4)/$G$3,G4,G3*(1-$N$5))</f>
        <v>14970.782879999997</v>
      </c>
      <c r="H5" s="61">
        <f t="shared" ref="H5:K5" si="5">IF(0&lt;($G$3-$G$4)/$G$3,H4,H3*(1-$N$5))</f>
        <v>15031.775702591243</v>
      </c>
      <c r="I5" s="61">
        <f t="shared" si="5"/>
        <v>15093.017017491638</v>
      </c>
      <c r="J5" s="61">
        <f t="shared" si="5"/>
        <v>15154.50783708961</v>
      </c>
      <c r="K5" s="61">
        <f t="shared" si="5"/>
        <v>15216.249177898182</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5201</v>
      </c>
      <c r="C8" s="61">
        <v>5201</v>
      </c>
      <c r="D8" s="61">
        <v>5201</v>
      </c>
      <c r="E8" s="61">
        <v>5201</v>
      </c>
      <c r="F8" s="61">
        <v>5201</v>
      </c>
      <c r="G8" s="61">
        <v>5201</v>
      </c>
      <c r="H8" s="65">
        <f>AVERAGE(E8:G8)</f>
        <v>5201</v>
      </c>
      <c r="I8" s="65">
        <f t="shared" ref="I8:K8" si="6">H8</f>
        <v>5201</v>
      </c>
      <c r="J8" s="65">
        <f t="shared" si="6"/>
        <v>5201</v>
      </c>
      <c r="K8" s="65">
        <f t="shared" si="6"/>
        <v>5201</v>
      </c>
      <c r="L8" s="84" t="s">
        <v>244</v>
      </c>
      <c r="N8" s="64">
        <v>4.0741237836483535E-3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 t="shared" ref="B10:K10" si="7">B5*B9</f>
        <v>4496.2097619371489</v>
      </c>
      <c r="C10" s="61">
        <f t="shared" si="7"/>
        <v>4643.2826346750016</v>
      </c>
      <c r="D10" s="61">
        <f t="shared" si="7"/>
        <v>4940.9572070850854</v>
      </c>
      <c r="E10" s="61">
        <f t="shared" si="7"/>
        <v>5239.7740079999985</v>
      </c>
      <c r="F10" s="61">
        <f t="shared" si="7"/>
        <v>5539.189665599999</v>
      </c>
      <c r="G10" s="61">
        <f t="shared" si="7"/>
        <v>5688.8974943999992</v>
      </c>
      <c r="H10" s="61">
        <f t="shared" si="7"/>
        <v>6012.7102810364977</v>
      </c>
      <c r="I10" s="61">
        <f t="shared" si="7"/>
        <v>6339.0671473464881</v>
      </c>
      <c r="J10" s="61">
        <f t="shared" si="7"/>
        <v>6516.4383699485325</v>
      </c>
      <c r="K10" s="61">
        <f t="shared" si="7"/>
        <v>6847.3121300541825</v>
      </c>
      <c r="L10" s="84" t="s">
        <v>376</v>
      </c>
      <c r="N10" s="122"/>
      <c r="O10" s="60"/>
    </row>
    <row r="11" spans="1:15" s="58" customFormat="1" ht="28.8" x14ac:dyDescent="0.3">
      <c r="A11" s="99" t="s">
        <v>172</v>
      </c>
      <c r="B11" s="61">
        <f t="shared" ref="B11:K11" si="8">MAX(B3-SUM(B6:B8,B10), B3*$N$6)</f>
        <v>6418.2374134648198</v>
      </c>
      <c r="C11" s="61">
        <f t="shared" si="8"/>
        <v>6261.4497089774504</v>
      </c>
      <c r="D11" s="61">
        <f t="shared" si="8"/>
        <v>5957.6101017617239</v>
      </c>
      <c r="E11" s="61">
        <f t="shared" si="8"/>
        <v>5656.8419919999997</v>
      </c>
      <c r="F11" s="61">
        <f t="shared" si="8"/>
        <v>5357.4263343999992</v>
      </c>
      <c r="G11" s="61">
        <f t="shared" si="8"/>
        <v>5207.718505599998</v>
      </c>
      <c r="H11" s="61">
        <f t="shared" si="8"/>
        <v>4949.4893991691406</v>
      </c>
      <c r="I11" s="61">
        <f t="shared" si="8"/>
        <v>4688.983409096134</v>
      </c>
      <c r="J11" s="61">
        <f t="shared" si="8"/>
        <v>4577.7313473521226</v>
      </c>
      <c r="K11" s="61">
        <f t="shared" si="8"/>
        <v>4313.2461257503146</v>
      </c>
      <c r="L11" s="84" t="s">
        <v>203</v>
      </c>
    </row>
    <row r="12" spans="1:15" s="58" customFormat="1" ht="43.8" x14ac:dyDescent="0.35">
      <c r="A12" s="99" t="s">
        <v>194</v>
      </c>
      <c r="B12" s="61">
        <f t="shared" ref="B12:K12" si="9">B6*$N$3+B11*$N$2</f>
        <v>2794.5005698225827</v>
      </c>
      <c r="C12" s="61">
        <f t="shared" si="9"/>
        <v>2726.235203288782</v>
      </c>
      <c r="D12" s="61">
        <f t="shared" si="9"/>
        <v>2593.9434383070547</v>
      </c>
      <c r="E12" s="61">
        <f t="shared" si="9"/>
        <v>2462.9890033167999</v>
      </c>
      <c r="F12" s="61">
        <f t="shared" si="9"/>
        <v>2332.6234259977596</v>
      </c>
      <c r="G12" s="61">
        <f t="shared" si="9"/>
        <v>2267.4406373382394</v>
      </c>
      <c r="H12" s="61">
        <f t="shared" si="9"/>
        <v>2155.0076843982438</v>
      </c>
      <c r="I12" s="61">
        <f t="shared" si="9"/>
        <v>2041.5833763204569</v>
      </c>
      <c r="J12" s="61">
        <f t="shared" si="9"/>
        <v>1993.1442286371143</v>
      </c>
      <c r="K12" s="61">
        <f t="shared" si="9"/>
        <v>1877.9873631516871</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10">B12/B3</f>
        <v>0.17340509012297262</v>
      </c>
      <c r="C14" s="80">
        <f t="shared" si="10"/>
        <v>0.16927111075226819</v>
      </c>
      <c r="D14" s="80">
        <f t="shared" si="10"/>
        <v>0.16111882937882854</v>
      </c>
      <c r="E14" s="80">
        <f t="shared" si="10"/>
        <v>0.15300333933402313</v>
      </c>
      <c r="F14" s="80">
        <f t="shared" si="10"/>
        <v>0.14490489933402312</v>
      </c>
      <c r="G14" s="80">
        <f t="shared" si="10"/>
        <v>0.1408556793340231</v>
      </c>
      <c r="H14" s="80">
        <f t="shared" si="10"/>
        <v>0.13332803696271767</v>
      </c>
      <c r="I14" s="80">
        <f t="shared" si="10"/>
        <v>0.12579807852715003</v>
      </c>
      <c r="J14" s="80">
        <f t="shared" si="10"/>
        <v>0.12231503342496544</v>
      </c>
      <c r="K14" s="80">
        <f t="shared" si="10"/>
        <v>0.11478047101567751</v>
      </c>
      <c r="L14" s="84" t="s">
        <v>206</v>
      </c>
    </row>
    <row r="15" spans="1:15" s="58" customFormat="1" ht="30.6" thickBot="1" x14ac:dyDescent="0.4">
      <c r="A15" s="99" t="s">
        <v>196</v>
      </c>
      <c r="B15" s="79">
        <f>$K$13*B14</f>
        <v>0</v>
      </c>
      <c r="C15" s="79">
        <f t="shared" ref="C15:K15" si="11">$K$13*C14</f>
        <v>0</v>
      </c>
      <c r="D15" s="79">
        <f t="shared" si="11"/>
        <v>0</v>
      </c>
      <c r="E15" s="79">
        <f t="shared" si="11"/>
        <v>0</v>
      </c>
      <c r="F15" s="79">
        <f t="shared" si="11"/>
        <v>0</v>
      </c>
      <c r="G15" s="79">
        <f t="shared" si="11"/>
        <v>0</v>
      </c>
      <c r="H15" s="79">
        <f t="shared" si="11"/>
        <v>0</v>
      </c>
      <c r="I15" s="79">
        <f t="shared" si="11"/>
        <v>0</v>
      </c>
      <c r="J15" s="79">
        <f t="shared" si="11"/>
        <v>0</v>
      </c>
      <c r="K15" s="79">
        <f t="shared" si="11"/>
        <v>0</v>
      </c>
      <c r="L15" s="84" t="s">
        <v>250</v>
      </c>
    </row>
    <row r="16" spans="1:15" ht="29.4" thickBot="1" x14ac:dyDescent="0.35">
      <c r="A16" s="179" t="s">
        <v>197</v>
      </c>
      <c r="B16" s="81">
        <f t="shared" ref="B16:K16" si="12">B12-B15</f>
        <v>2794.5005698225827</v>
      </c>
      <c r="C16" s="81">
        <f t="shared" si="12"/>
        <v>2726.235203288782</v>
      </c>
      <c r="D16" s="81">
        <f t="shared" si="12"/>
        <v>2593.9434383070547</v>
      </c>
      <c r="E16" s="81">
        <f t="shared" si="12"/>
        <v>2462.9890033167999</v>
      </c>
      <c r="F16" s="81">
        <f t="shared" si="12"/>
        <v>2332.6234259977596</v>
      </c>
      <c r="G16" s="81">
        <f t="shared" si="12"/>
        <v>2267.4406373382394</v>
      </c>
      <c r="H16" s="81">
        <f t="shared" si="12"/>
        <v>2155.0076843982438</v>
      </c>
      <c r="I16" s="81">
        <f t="shared" si="12"/>
        <v>2041.5833763204569</v>
      </c>
      <c r="J16" s="81">
        <f t="shared" si="12"/>
        <v>1993.1442286371143</v>
      </c>
      <c r="K16" s="81">
        <f t="shared" si="12"/>
        <v>1877.9873631516871</v>
      </c>
      <c r="L16" s="88" t="s">
        <v>265</v>
      </c>
      <c r="M16" s="58"/>
      <c r="N16" s="58"/>
      <c r="O16" s="58"/>
    </row>
    <row r="17" spans="1:15" x14ac:dyDescent="0.3">
      <c r="A17" s="82"/>
      <c r="B17" s="82"/>
      <c r="C17" s="82"/>
      <c r="D17" s="82"/>
      <c r="E17" s="82"/>
      <c r="F17" s="82"/>
      <c r="G17" s="82"/>
      <c r="H17" s="82"/>
      <c r="I17" s="82"/>
      <c r="J17" s="82"/>
      <c r="K17" s="82"/>
      <c r="L17" s="58"/>
      <c r="M17" s="58"/>
      <c r="N17" s="58"/>
      <c r="O17" s="58"/>
    </row>
    <row r="18" spans="1:15" ht="15.6" x14ac:dyDescent="0.3">
      <c r="A18" s="82"/>
      <c r="B18" s="82"/>
      <c r="C18" s="82"/>
      <c r="D18" s="82"/>
      <c r="E18" s="82"/>
      <c r="F18" s="82"/>
      <c r="G18" s="82"/>
      <c r="H18" s="82"/>
      <c r="I18" s="82"/>
      <c r="J18" s="82"/>
      <c r="K18" s="82"/>
      <c r="L18" s="58"/>
      <c r="M18" s="58"/>
      <c r="O18" s="3"/>
    </row>
  </sheetData>
  <mergeCells count="3">
    <mergeCell ref="B1:L1"/>
    <mergeCell ref="N1:O1"/>
    <mergeCell ref="B13:J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 min="16" max="17" width="12" customWidth="1"/>
    <col min="18" max="18" width="8.88671875" customWidth="1"/>
    <col min="19" max="19" width="14.33203125" customWidth="1"/>
    <col min="20" max="20" width="10.6640625" bestFit="1" customWidth="1"/>
  </cols>
  <sheetData>
    <row r="1" spans="1:16" s="58" customFormat="1" ht="15.6" x14ac:dyDescent="0.3">
      <c r="A1" s="97" t="s">
        <v>92</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58.8" x14ac:dyDescent="0.35">
      <c r="A3" s="99" t="s">
        <v>166</v>
      </c>
      <c r="B3" s="61">
        <f>SUMIFS('Form 1.5a'!J:J, 'Form 1.5a'!$B:$B, "Burbank")*1000</f>
        <v>1214000</v>
      </c>
      <c r="C3" s="61">
        <f>SUMIFS('Form 1.5a'!K:K, 'Form 1.5a'!$B:$B, "Burbank")*1000</f>
        <v>1225000</v>
      </c>
      <c r="D3" s="61">
        <f>SUMIFS('Form 1.5a'!L:L, 'Form 1.5a'!$B:$B, "Burbank")*1000</f>
        <v>1229000</v>
      </c>
      <c r="E3" s="61">
        <f>SUMIFS('Form 1.5a'!M:M, 'Form 1.5a'!$B:$B, "Burbank")*1000</f>
        <v>1233000</v>
      </c>
      <c r="F3" s="61">
        <f>SUMIFS('Form 1.5a'!N:N, 'Form 1.5a'!$B:$B, "Burbank")*1000</f>
        <v>1238000</v>
      </c>
      <c r="G3" s="61">
        <f>SUMIFS('Form 1.5a'!O:O, 'Form 1.5a'!$B:$B, "Burbank")*1000</f>
        <v>1241000</v>
      </c>
      <c r="H3" s="65">
        <f>AVERAGE(E3:G3)*(1+$N$8)</f>
        <v>1240458.2562863601</v>
      </c>
      <c r="I3" s="65">
        <f t="shared" ref="I3:K4" si="0">H3*(1+$N$8)</f>
        <v>1243591.0713273145</v>
      </c>
      <c r="J3" s="65">
        <f t="shared" si="0"/>
        <v>1246731.7983879044</v>
      </c>
      <c r="K3" s="65">
        <f t="shared" si="0"/>
        <v>1249880.4574501761</v>
      </c>
      <c r="L3" s="84" t="s">
        <v>209</v>
      </c>
      <c r="N3" s="62">
        <v>0.91839999999999999</v>
      </c>
      <c r="O3" s="8" t="s">
        <v>199</v>
      </c>
    </row>
    <row r="4" spans="1:16" s="58" customFormat="1" ht="57.6" x14ac:dyDescent="0.3">
      <c r="A4" s="99" t="s">
        <v>167</v>
      </c>
      <c r="B4" s="61">
        <f>SUMIFS('Form 1.1c'!J:J, 'Form 1.1c'!$B:$B, "City of Burbank")*1000</f>
        <v>1141000</v>
      </c>
      <c r="C4" s="61">
        <f>SUMIFS('Form 1.1c'!K:K, 'Form 1.1c'!$B:$B, "City of Burbank")*1000</f>
        <v>1151000</v>
      </c>
      <c r="D4" s="61">
        <f>SUMIFS('Form 1.1c'!L:L, 'Form 1.1c'!$B:$B, "City of Burbank")*1000</f>
        <v>1156000</v>
      </c>
      <c r="E4" s="61">
        <f>SUMIFS('Form 1.1c'!M:M, 'Form 1.1c'!$B:$B, "City of Burbank")*1000</f>
        <v>1160000</v>
      </c>
      <c r="F4" s="61">
        <f>SUMIFS('Form 1.1c'!N:N, 'Form 1.1c'!$B:$B, "City of Burbank")*1000</f>
        <v>1165000</v>
      </c>
      <c r="G4" s="61">
        <f>SUMIFS('Form 1.1c'!O:O, 'Form 1.1c'!$B:$B, "City of Burbank")*1000</f>
        <v>1167000</v>
      </c>
      <c r="H4" s="65">
        <f>AVERAGE(E4:G4)*(1+$N$8)</f>
        <v>1166939.7173900781</v>
      </c>
      <c r="I4" s="61">
        <f t="shared" si="0"/>
        <v>1169886.8591258037</v>
      </c>
      <c r="J4" s="61">
        <f t="shared" si="0"/>
        <v>1172841.4439575872</v>
      </c>
      <c r="K4" s="61">
        <f t="shared" si="0"/>
        <v>1175803.4906831942</v>
      </c>
      <c r="L4" s="84" t="s">
        <v>211</v>
      </c>
      <c r="N4" s="68">
        <f>0.15</f>
        <v>0.15</v>
      </c>
      <c r="O4" s="84" t="s">
        <v>165</v>
      </c>
    </row>
    <row r="5" spans="1:16" s="58" customFormat="1" ht="28.8" x14ac:dyDescent="0.3">
      <c r="A5" s="99" t="s">
        <v>191</v>
      </c>
      <c r="B5" s="61">
        <f>IF(0&lt;(B3-B4)/B3,B4,B3*(1-$N$5))</f>
        <v>1141000</v>
      </c>
      <c r="C5" s="61">
        <f t="shared" ref="C5:K5" si="1">IF(0&lt;(C3-C4)/C3,C4,C3*(1-$N$5))</f>
        <v>1151000</v>
      </c>
      <c r="D5" s="61">
        <f t="shared" si="1"/>
        <v>1156000</v>
      </c>
      <c r="E5" s="61">
        <f t="shared" si="1"/>
        <v>1160000</v>
      </c>
      <c r="F5" s="61">
        <f t="shared" si="1"/>
        <v>1165000</v>
      </c>
      <c r="G5" s="61">
        <f t="shared" si="1"/>
        <v>1167000</v>
      </c>
      <c r="H5" s="61">
        <f t="shared" si="1"/>
        <v>1166939.7173900781</v>
      </c>
      <c r="I5" s="61">
        <f t="shared" si="1"/>
        <v>1169886.8591258037</v>
      </c>
      <c r="J5" s="61">
        <f t="shared" si="1"/>
        <v>1172841.4439575872</v>
      </c>
      <c r="K5" s="61">
        <f t="shared" si="1"/>
        <v>1175803.4906831942</v>
      </c>
      <c r="L5" s="84" t="s">
        <v>271</v>
      </c>
      <c r="N5" s="68">
        <f>0.07</f>
        <v>7.0000000000000007E-2</v>
      </c>
      <c r="O5" s="84" t="s">
        <v>275</v>
      </c>
    </row>
    <row r="6" spans="1:16" s="58" customFormat="1" ht="43.2" x14ac:dyDescent="0.3">
      <c r="A6" s="99" t="s">
        <v>168</v>
      </c>
      <c r="B6" s="61">
        <v>484000</v>
      </c>
      <c r="C6" s="61">
        <v>484000</v>
      </c>
      <c r="D6" s="61">
        <v>484000</v>
      </c>
      <c r="E6" s="61">
        <v>484000</v>
      </c>
      <c r="F6" s="61">
        <f>AVERAGE(C6:E6)</f>
        <v>484000</v>
      </c>
      <c r="G6" s="61">
        <f>F6</f>
        <v>484000</v>
      </c>
      <c r="H6" s="61">
        <f>G6/2</f>
        <v>242000</v>
      </c>
      <c r="I6" s="61">
        <v>0</v>
      </c>
      <c r="J6" s="61">
        <v>0</v>
      </c>
      <c r="K6" s="61">
        <v>0</v>
      </c>
      <c r="L6" s="103" t="s">
        <v>233</v>
      </c>
      <c r="N6" s="63">
        <v>0.05</v>
      </c>
      <c r="O6" s="84" t="s">
        <v>200</v>
      </c>
    </row>
    <row r="7" spans="1:16" s="58" customFormat="1" ht="43.2" x14ac:dyDescent="0.3">
      <c r="A7" s="99" t="s">
        <v>169</v>
      </c>
      <c r="B7" s="61">
        <v>72000</v>
      </c>
      <c r="C7" s="61">
        <v>72000</v>
      </c>
      <c r="D7" s="61">
        <v>72000</v>
      </c>
      <c r="E7" s="61">
        <v>72000</v>
      </c>
      <c r="F7" s="61">
        <f>AVERAGE(C7:E7)</f>
        <v>72000</v>
      </c>
      <c r="G7" s="61">
        <f>F7</f>
        <v>72000</v>
      </c>
      <c r="H7" s="61">
        <f t="shared" ref="H7:K8" si="2">G7</f>
        <v>72000</v>
      </c>
      <c r="I7" s="61">
        <f t="shared" si="2"/>
        <v>72000</v>
      </c>
      <c r="J7" s="61">
        <f t="shared" si="2"/>
        <v>72000</v>
      </c>
      <c r="K7" s="61">
        <f t="shared" si="2"/>
        <v>72000</v>
      </c>
      <c r="L7" s="84" t="s">
        <v>234</v>
      </c>
      <c r="O7" s="101"/>
    </row>
    <row r="8" spans="1:16" s="58" customFormat="1" ht="28.8" x14ac:dyDescent="0.3">
      <c r="A8" s="99" t="s">
        <v>170</v>
      </c>
      <c r="B8" s="65">
        <v>21000</v>
      </c>
      <c r="C8" s="65">
        <v>21000</v>
      </c>
      <c r="D8" s="65">
        <v>21000</v>
      </c>
      <c r="E8" s="65">
        <v>21000</v>
      </c>
      <c r="F8" s="61">
        <f>AVERAGE(C8:E8)</f>
        <v>21000</v>
      </c>
      <c r="G8" s="61">
        <f>F8</f>
        <v>21000</v>
      </c>
      <c r="H8" s="61">
        <f t="shared" si="2"/>
        <v>21000</v>
      </c>
      <c r="I8" s="61">
        <f t="shared" si="2"/>
        <v>21000</v>
      </c>
      <c r="J8" s="61">
        <f t="shared" si="2"/>
        <v>21000</v>
      </c>
      <c r="K8" s="61">
        <f t="shared" si="2"/>
        <v>21000</v>
      </c>
      <c r="L8" s="84" t="s">
        <v>230</v>
      </c>
      <c r="N8" s="64">
        <v>2.525530403847176E-3</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342300</v>
      </c>
      <c r="C10" s="61">
        <f t="shared" ref="C10:K10" si="3">C5*C9</f>
        <v>356810</v>
      </c>
      <c r="D10" s="61">
        <f t="shared" si="3"/>
        <v>381480</v>
      </c>
      <c r="E10" s="61">
        <f t="shared" si="3"/>
        <v>406000</v>
      </c>
      <c r="F10" s="61">
        <f t="shared" si="3"/>
        <v>431050</v>
      </c>
      <c r="G10" s="61">
        <f t="shared" si="3"/>
        <v>443460</v>
      </c>
      <c r="H10" s="61">
        <f t="shared" si="3"/>
        <v>466775.88695603126</v>
      </c>
      <c r="I10" s="61">
        <f t="shared" si="3"/>
        <v>491352.48083283752</v>
      </c>
      <c r="J10" s="61">
        <f t="shared" si="3"/>
        <v>504321.82090176252</v>
      </c>
      <c r="K10" s="61">
        <f t="shared" si="3"/>
        <v>529111.57080743741</v>
      </c>
      <c r="L10" s="84" t="s">
        <v>376</v>
      </c>
      <c r="N10" s="122"/>
      <c r="O10" s="60"/>
    </row>
    <row r="11" spans="1:16" s="58" customFormat="1" ht="28.8" x14ac:dyDescent="0.3">
      <c r="A11" s="99" t="s">
        <v>172</v>
      </c>
      <c r="B11" s="61">
        <f t="shared" ref="B11:K11" si="4">MAX(B3-SUM(B6:B8,B10), B3*$N$6)</f>
        <v>294700</v>
      </c>
      <c r="C11" s="61">
        <f t="shared" si="4"/>
        <v>291190</v>
      </c>
      <c r="D11" s="61">
        <f t="shared" si="4"/>
        <v>270520</v>
      </c>
      <c r="E11" s="61">
        <f t="shared" si="4"/>
        <v>250000</v>
      </c>
      <c r="F11" s="61">
        <f t="shared" si="4"/>
        <v>229950</v>
      </c>
      <c r="G11" s="61">
        <f t="shared" si="4"/>
        <v>220540</v>
      </c>
      <c r="H11" s="61">
        <f t="shared" si="4"/>
        <v>438682.36933032889</v>
      </c>
      <c r="I11" s="61">
        <f t="shared" si="4"/>
        <v>659238.59049447696</v>
      </c>
      <c r="J11" s="61">
        <f t="shared" si="4"/>
        <v>649409.97748614196</v>
      </c>
      <c r="K11" s="61">
        <f t="shared" si="4"/>
        <v>627768.88664273871</v>
      </c>
      <c r="L11" s="84" t="s">
        <v>203</v>
      </c>
    </row>
    <row r="12" spans="1:16" s="58" customFormat="1" ht="43.8" x14ac:dyDescent="0.35">
      <c r="A12" s="99" t="s">
        <v>194</v>
      </c>
      <c r="B12" s="61">
        <f t="shared" ref="B12:K12" si="5">B6*$N$3+B11*$N$2</f>
        <v>572817.98</v>
      </c>
      <c r="C12" s="61">
        <f t="shared" si="5"/>
        <v>571289.72600000002</v>
      </c>
      <c r="D12" s="61">
        <f t="shared" si="5"/>
        <v>562290.00799999991</v>
      </c>
      <c r="E12" s="61">
        <f t="shared" si="5"/>
        <v>553355.6</v>
      </c>
      <c r="F12" s="61">
        <f t="shared" si="5"/>
        <v>544625.82999999996</v>
      </c>
      <c r="G12" s="61">
        <f t="shared" si="5"/>
        <v>540528.71600000001</v>
      </c>
      <c r="H12" s="61">
        <f t="shared" si="5"/>
        <v>413255.10360642523</v>
      </c>
      <c r="I12" s="61">
        <f t="shared" si="5"/>
        <v>287032.48230129527</v>
      </c>
      <c r="J12" s="61">
        <f t="shared" si="5"/>
        <v>282753.10419746622</v>
      </c>
      <c r="K12" s="61">
        <f t="shared" si="5"/>
        <v>273330.57324424846</v>
      </c>
      <c r="L12" s="102" t="s">
        <v>204</v>
      </c>
    </row>
    <row r="13" spans="1:16" s="58" customFormat="1" ht="72" x14ac:dyDescent="0.3">
      <c r="A13" s="99"/>
      <c r="B13" s="204" t="s">
        <v>205</v>
      </c>
      <c r="C13" s="205"/>
      <c r="D13" s="205"/>
      <c r="E13" s="205"/>
      <c r="F13" s="205"/>
      <c r="G13" s="205"/>
      <c r="H13" s="205"/>
      <c r="I13" s="205"/>
      <c r="J13" s="206"/>
      <c r="K13" s="83">
        <v>0</v>
      </c>
      <c r="L13" s="102" t="s">
        <v>368</v>
      </c>
    </row>
    <row r="14" spans="1:16" s="58" customFormat="1" ht="30" x14ac:dyDescent="0.35">
      <c r="A14" s="99" t="s">
        <v>195</v>
      </c>
      <c r="B14" s="80">
        <f t="shared" ref="B14:K14" si="6">B12/B3</f>
        <v>0.47184347611202632</v>
      </c>
      <c r="C14" s="80">
        <f t="shared" si="6"/>
        <v>0.46635896000000004</v>
      </c>
      <c r="D14" s="80">
        <f t="shared" si="6"/>
        <v>0.45751831407648486</v>
      </c>
      <c r="E14" s="80">
        <f t="shared" si="6"/>
        <v>0.44878799675587994</v>
      </c>
      <c r="F14" s="80">
        <f t="shared" si="6"/>
        <v>0.43992393376413569</v>
      </c>
      <c r="G14" s="80">
        <f t="shared" si="6"/>
        <v>0.4355589975825947</v>
      </c>
      <c r="H14" s="80">
        <f t="shared" si="6"/>
        <v>0.3331471264850247</v>
      </c>
      <c r="I14" s="80">
        <f t="shared" si="6"/>
        <v>0.23080937851615374</v>
      </c>
      <c r="J14" s="80">
        <f t="shared" si="6"/>
        <v>0.22679545397260434</v>
      </c>
      <c r="K14" s="80">
        <f t="shared" si="6"/>
        <v>0.21868537236101573</v>
      </c>
      <c r="L14" s="84" t="s">
        <v>206</v>
      </c>
    </row>
    <row r="15" spans="1:16"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c r="N15"/>
      <c r="O15"/>
    </row>
    <row r="16" spans="1:16" ht="29.4" thickBot="1" x14ac:dyDescent="0.35">
      <c r="A16" s="179" t="s">
        <v>197</v>
      </c>
      <c r="B16" s="81">
        <f t="shared" ref="B16:K16" si="8">B12-B15</f>
        <v>572817.98</v>
      </c>
      <c r="C16" s="81">
        <f t="shared" si="8"/>
        <v>571289.72600000002</v>
      </c>
      <c r="D16" s="81">
        <f t="shared" si="8"/>
        <v>562290.00799999991</v>
      </c>
      <c r="E16" s="81">
        <f t="shared" si="8"/>
        <v>553355.6</v>
      </c>
      <c r="F16" s="81">
        <f t="shared" si="8"/>
        <v>544625.82999999996</v>
      </c>
      <c r="G16" s="81">
        <f t="shared" si="8"/>
        <v>540528.71600000001</v>
      </c>
      <c r="H16" s="81">
        <f t="shared" si="8"/>
        <v>413255.10360642523</v>
      </c>
      <c r="I16" s="81">
        <f t="shared" si="8"/>
        <v>287032.48230129527</v>
      </c>
      <c r="J16" s="81">
        <f t="shared" si="8"/>
        <v>282753.10419746622</v>
      </c>
      <c r="K16" s="81">
        <f t="shared" si="8"/>
        <v>273330.57324424846</v>
      </c>
      <c r="L16" s="88" t="s">
        <v>265</v>
      </c>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82"/>
      <c r="J18" s="82"/>
      <c r="K18" s="82"/>
      <c r="O18" s="4"/>
    </row>
  </sheetData>
  <mergeCells count="3">
    <mergeCell ref="B1:L1"/>
    <mergeCell ref="N1:O1"/>
    <mergeCell ref="B13:J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zoomScaleNormal="100"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14</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85066.020375827211</v>
      </c>
      <c r="C3" s="65">
        <f>B3*(1+$N$8)</f>
        <v>85415.322769445498</v>
      </c>
      <c r="D3" s="65">
        <f>C3*(1+$N$8)</f>
        <v>85766.059486212427</v>
      </c>
      <c r="E3" s="65">
        <f>D3*(1+$N$8)</f>
        <v>86118.236415818217</v>
      </c>
      <c r="F3" s="65">
        <f>E3*(1+$N$8)</f>
        <v>86471.859472137658</v>
      </c>
      <c r="G3" s="65">
        <f>F3*(1+$N$8)</f>
        <v>86826.934593329352</v>
      </c>
      <c r="H3" s="65">
        <f t="shared" ref="H3:K4" si="0">G3*(1+$N$8)</f>
        <v>87183.467741935499</v>
      </c>
      <c r="I3" s="65">
        <f t="shared" si="0"/>
        <v>87541.464904982</v>
      </c>
      <c r="J3" s="65">
        <f t="shared" si="0"/>
        <v>87900.932094078948</v>
      </c>
      <c r="K3" s="65">
        <f t="shared" si="0"/>
        <v>88261.875345521636</v>
      </c>
      <c r="L3" s="84" t="s">
        <v>210</v>
      </c>
      <c r="N3" s="62">
        <v>0.91839999999999999</v>
      </c>
      <c r="O3" s="8" t="s">
        <v>199</v>
      </c>
    </row>
    <row r="4" spans="1:18" s="58" customFormat="1" ht="57.6" x14ac:dyDescent="0.3">
      <c r="A4" s="99" t="s">
        <v>167</v>
      </c>
      <c r="B4" s="61">
        <f>SUMIFS('Form 1.1c'!J:J, 'Form 1.1c'!$B:$B, "City of Cerritos")*1000</f>
        <v>84000</v>
      </c>
      <c r="C4" s="61">
        <f>SUMIFS('Form 1.1c'!K:K, 'Form 1.1c'!$B:$B, "City of Cerritos")*1000</f>
        <v>84000</v>
      </c>
      <c r="D4" s="61">
        <f>SUMIFS('Form 1.1c'!L:L, 'Form 1.1c'!$B:$B, "City of Cerritos")*1000</f>
        <v>85000</v>
      </c>
      <c r="E4" s="61">
        <f>SUMIFS('Form 1.1c'!M:M, 'Form 1.1c'!$B:$B, "City of Cerritos")*1000</f>
        <v>85000</v>
      </c>
      <c r="F4" s="61">
        <f>SUMIFS('Form 1.1c'!N:N, 'Form 1.1c'!$B:$B, "City of Cerritos")*1000</f>
        <v>85000</v>
      </c>
      <c r="G4" s="61">
        <f>SUMIFS('Form 1.1c'!O:O, 'Form 1.1c'!$B:$B, "City of Cerritos")*1000</f>
        <v>85000</v>
      </c>
      <c r="H4" s="65">
        <f>AVERAGE(E4:G4)*(1+$N$8)</f>
        <v>85349.031297413225</v>
      </c>
      <c r="I4" s="61">
        <f t="shared" si="0"/>
        <v>85699.495804786144</v>
      </c>
      <c r="J4" s="61">
        <f t="shared" si="0"/>
        <v>86051.399407237957</v>
      </c>
      <c r="K4" s="61">
        <f t="shared" si="0"/>
        <v>86404.748014053635</v>
      </c>
      <c r="L4" s="84" t="s">
        <v>211</v>
      </c>
      <c r="N4" s="68">
        <f>0.15</f>
        <v>0.15</v>
      </c>
      <c r="O4" s="84" t="s">
        <v>165</v>
      </c>
    </row>
    <row r="5" spans="1:18" s="58" customFormat="1" ht="28.8" x14ac:dyDescent="0.3">
      <c r="A5" s="99" t="s">
        <v>191</v>
      </c>
      <c r="B5" s="61">
        <f>IF(0&lt;(B3-B4)/B3,B4,B3*(1-$N$5))</f>
        <v>84000</v>
      </c>
      <c r="C5" s="61">
        <f t="shared" ref="C5:K5" si="1">IF(0&lt;(C3-C4)/C3,C4,C3*(1-$N$5))</f>
        <v>84000</v>
      </c>
      <c r="D5" s="61">
        <f t="shared" si="1"/>
        <v>85000</v>
      </c>
      <c r="E5" s="61">
        <f t="shared" si="1"/>
        <v>85000</v>
      </c>
      <c r="F5" s="61">
        <f t="shared" si="1"/>
        <v>85000</v>
      </c>
      <c r="G5" s="61">
        <f t="shared" si="1"/>
        <v>85000</v>
      </c>
      <c r="H5" s="61">
        <f t="shared" si="1"/>
        <v>85349.031297413225</v>
      </c>
      <c r="I5" s="61">
        <f t="shared" si="1"/>
        <v>85699.495804786144</v>
      </c>
      <c r="J5" s="61">
        <f t="shared" si="1"/>
        <v>86051.399407237957</v>
      </c>
      <c r="K5" s="61">
        <f t="shared" si="1"/>
        <v>86404.748014053635</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25200</v>
      </c>
      <c r="C10" s="61">
        <f t="shared" ref="C10:K10" si="2">C5*C9</f>
        <v>26040</v>
      </c>
      <c r="D10" s="61">
        <f t="shared" si="2"/>
        <v>28050</v>
      </c>
      <c r="E10" s="61">
        <f t="shared" si="2"/>
        <v>29749.999999999996</v>
      </c>
      <c r="F10" s="61">
        <f t="shared" si="2"/>
        <v>31450</v>
      </c>
      <c r="G10" s="61">
        <f t="shared" si="2"/>
        <v>32300</v>
      </c>
      <c r="H10" s="61">
        <f t="shared" si="2"/>
        <v>34139.612518965288</v>
      </c>
      <c r="I10" s="61">
        <f t="shared" si="2"/>
        <v>35993.78823801018</v>
      </c>
      <c r="J10" s="61">
        <f t="shared" si="2"/>
        <v>37002.101745112319</v>
      </c>
      <c r="K10" s="61">
        <f t="shared" si="2"/>
        <v>38882.136606324137</v>
      </c>
      <c r="L10" s="84" t="s">
        <v>376</v>
      </c>
      <c r="N10" s="122"/>
      <c r="O10" s="60"/>
    </row>
    <row r="11" spans="1:18" s="58" customFormat="1" ht="28.8" x14ac:dyDescent="0.3">
      <c r="A11" s="99" t="s">
        <v>172</v>
      </c>
      <c r="B11" s="61">
        <f t="shared" ref="B11:K11" si="3">MAX(B3-SUM(B6:B8,B10), B3*$N$6)</f>
        <v>59866.020375827211</v>
      </c>
      <c r="C11" s="61">
        <f t="shared" si="3"/>
        <v>59375.322769445498</v>
      </c>
      <c r="D11" s="61">
        <f t="shared" si="3"/>
        <v>57716.059486212427</v>
      </c>
      <c r="E11" s="61">
        <f t="shared" si="3"/>
        <v>56368.236415818217</v>
      </c>
      <c r="F11" s="61">
        <f t="shared" si="3"/>
        <v>55021.859472137658</v>
      </c>
      <c r="G11" s="61">
        <f t="shared" si="3"/>
        <v>54526.934593329352</v>
      </c>
      <c r="H11" s="61">
        <f t="shared" si="3"/>
        <v>53043.855222970211</v>
      </c>
      <c r="I11" s="61">
        <f t="shared" si="3"/>
        <v>51547.67666697182</v>
      </c>
      <c r="J11" s="61">
        <f t="shared" si="3"/>
        <v>50898.830348966629</v>
      </c>
      <c r="K11" s="61">
        <f t="shared" si="3"/>
        <v>49379.738739197499</v>
      </c>
      <c r="L11" s="84" t="s">
        <v>203</v>
      </c>
    </row>
    <row r="12" spans="1:18" s="58" customFormat="1" ht="43.8" x14ac:dyDescent="0.35">
      <c r="A12" s="99" t="s">
        <v>194</v>
      </c>
      <c r="B12" s="61">
        <f t="shared" ref="B12:K12" si="4">B6*$N$3+B11*$N$2</f>
        <v>26065.665271635167</v>
      </c>
      <c r="C12" s="61">
        <f t="shared" si="4"/>
        <v>25852.015533816571</v>
      </c>
      <c r="D12" s="61">
        <f t="shared" si="4"/>
        <v>25129.572300296892</v>
      </c>
      <c r="E12" s="61">
        <f t="shared" si="4"/>
        <v>24542.730135447251</v>
      </c>
      <c r="F12" s="61">
        <f t="shared" si="4"/>
        <v>23956.517614168737</v>
      </c>
      <c r="G12" s="61">
        <f t="shared" si="4"/>
        <v>23741.027321935599</v>
      </c>
      <c r="H12" s="61">
        <f t="shared" si="4"/>
        <v>23095.294564081229</v>
      </c>
      <c r="I12" s="61">
        <f t="shared" si="4"/>
        <v>22443.85842079953</v>
      </c>
      <c r="J12" s="61">
        <f t="shared" si="4"/>
        <v>22161.350733940071</v>
      </c>
      <c r="K12" s="61">
        <f t="shared" si="4"/>
        <v>21499.93824704659</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5">B12/B3</f>
        <v>0.30641688839415976</v>
      </c>
      <c r="C14" s="80">
        <f t="shared" si="5"/>
        <v>0.30266250475452483</v>
      </c>
      <c r="D14" s="80">
        <f t="shared" si="5"/>
        <v>0.29300136267000432</v>
      </c>
      <c r="E14" s="80">
        <f t="shared" si="5"/>
        <v>0.2849887684292991</v>
      </c>
      <c r="F14" s="80">
        <f t="shared" si="5"/>
        <v>0.2770440899549273</v>
      </c>
      <c r="G14" s="80">
        <f t="shared" si="5"/>
        <v>0.27342929280103306</v>
      </c>
      <c r="H14" s="80">
        <f t="shared" si="5"/>
        <v>0.26490451873792953</v>
      </c>
      <c r="I14" s="80">
        <f t="shared" si="5"/>
        <v>0.25637974467482605</v>
      </c>
      <c r="J14" s="80">
        <f t="shared" si="5"/>
        <v>0.25211735764327431</v>
      </c>
      <c r="K14" s="80">
        <f t="shared" si="5"/>
        <v>0.24359258358017075</v>
      </c>
      <c r="L14" s="84" t="s">
        <v>206</v>
      </c>
    </row>
    <row r="15" spans="1:18" s="58" customFormat="1" ht="30.6" thickBot="1" x14ac:dyDescent="0.4">
      <c r="A15" s="99" t="s">
        <v>196</v>
      </c>
      <c r="B15" s="79">
        <f>$K$13*B14</f>
        <v>0</v>
      </c>
      <c r="C15" s="79">
        <f t="shared" ref="C15:K15" si="6">$K$13*C14</f>
        <v>0</v>
      </c>
      <c r="D15" s="79">
        <f t="shared" si="6"/>
        <v>0</v>
      </c>
      <c r="E15" s="79">
        <f t="shared" si="6"/>
        <v>0</v>
      </c>
      <c r="F15" s="79">
        <f t="shared" si="6"/>
        <v>0</v>
      </c>
      <c r="G15" s="79">
        <f t="shared" si="6"/>
        <v>0</v>
      </c>
      <c r="H15" s="79">
        <f t="shared" si="6"/>
        <v>0</v>
      </c>
      <c r="I15" s="79">
        <f t="shared" si="6"/>
        <v>0</v>
      </c>
      <c r="J15" s="79">
        <f t="shared" si="6"/>
        <v>0</v>
      </c>
      <c r="K15" s="79">
        <f t="shared" si="6"/>
        <v>0</v>
      </c>
      <c r="L15" s="84" t="s">
        <v>250</v>
      </c>
    </row>
    <row r="16" spans="1:18" ht="29.4" thickBot="1" x14ac:dyDescent="0.35">
      <c r="A16" s="179" t="s">
        <v>197</v>
      </c>
      <c r="B16" s="81">
        <f t="shared" ref="B16:K16" si="7">B12-B15</f>
        <v>26065.665271635167</v>
      </c>
      <c r="C16" s="81">
        <f t="shared" si="7"/>
        <v>25852.015533816571</v>
      </c>
      <c r="D16" s="81">
        <f t="shared" si="7"/>
        <v>25129.572300296892</v>
      </c>
      <c r="E16" s="81">
        <f t="shared" si="7"/>
        <v>24542.730135447251</v>
      </c>
      <c r="F16" s="81">
        <f t="shared" si="7"/>
        <v>23956.517614168737</v>
      </c>
      <c r="G16" s="81">
        <f t="shared" si="7"/>
        <v>23741.027321935599</v>
      </c>
      <c r="H16" s="81">
        <f t="shared" si="7"/>
        <v>23095.294564081229</v>
      </c>
      <c r="I16" s="81">
        <f t="shared" si="7"/>
        <v>22443.85842079953</v>
      </c>
      <c r="J16" s="81">
        <f t="shared" si="7"/>
        <v>22161.350733940071</v>
      </c>
      <c r="K16" s="81">
        <f t="shared" si="7"/>
        <v>21499.93824704659</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66</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383309.53759710089</v>
      </c>
      <c r="C3" s="65">
        <f>B3*(1+$N$8)</f>
        <v>384883.50259967009</v>
      </c>
      <c r="D3" s="65">
        <f>C3*(1+$N$8)</f>
        <v>386463.93069690902</v>
      </c>
      <c r="E3" s="65">
        <f>D3*(1+$N$8)</f>
        <v>388050.84842790384</v>
      </c>
      <c r="F3" s="65">
        <f>E3*(1+$N$8)</f>
        <v>389644.28244071669</v>
      </c>
      <c r="G3" s="65">
        <f>F3*(1+$N$8)</f>
        <v>391244.25949283352</v>
      </c>
      <c r="H3" s="65">
        <f t="shared" ref="H3:K4" si="0">G3*(1+$N$8)</f>
        <v>392850.80645161308</v>
      </c>
      <c r="I3" s="65">
        <f t="shared" si="0"/>
        <v>394463.95029473823</v>
      </c>
      <c r="J3" s="65">
        <f t="shared" si="0"/>
        <v>396083.71811066906</v>
      </c>
      <c r="K3" s="65">
        <f t="shared" si="0"/>
        <v>397710.13709909754</v>
      </c>
      <c r="L3" s="84" t="s">
        <v>213</v>
      </c>
      <c r="N3" s="62">
        <v>0.91839999999999999</v>
      </c>
      <c r="O3" s="8" t="s">
        <v>199</v>
      </c>
    </row>
    <row r="4" spans="1:18" s="58" customFormat="1" ht="57.6" x14ac:dyDescent="0.3">
      <c r="A4" s="99" t="s">
        <v>167</v>
      </c>
      <c r="B4" s="61">
        <f>SUMIFS('Form 1.1c'!J:J, 'Form 1.1c'!$B:$B, "City of Colton")*1000</f>
        <v>369000</v>
      </c>
      <c r="C4" s="61">
        <f>SUMIFS('Form 1.1c'!K:K, 'Form 1.1c'!$B:$B, "City of Colton")*1000</f>
        <v>371000</v>
      </c>
      <c r="D4" s="61">
        <f>SUMIFS('Form 1.1c'!L:L, 'Form 1.1c'!$B:$B, "City of Colton")*1000</f>
        <v>372000</v>
      </c>
      <c r="E4" s="61">
        <f>SUMIFS('Form 1.1c'!M:M, 'Form 1.1c'!$B:$B, "City of Colton")*1000</f>
        <v>373000</v>
      </c>
      <c r="F4" s="61">
        <f>SUMIFS('Form 1.1c'!N:N, 'Form 1.1c'!$B:$B, "City of Colton")*1000</f>
        <v>374000</v>
      </c>
      <c r="G4" s="61">
        <f>SUMIFS('Form 1.1c'!O:O, 'Form 1.1c'!$B:$B, "City of Colton")*1000</f>
        <v>374000</v>
      </c>
      <c r="H4" s="65">
        <f>AVERAGE(E4:G4)*(1+$N$8)</f>
        <v>375201.03562509897</v>
      </c>
      <c r="I4" s="61">
        <f t="shared" si="0"/>
        <v>376741.70508692268</v>
      </c>
      <c r="J4" s="61">
        <f t="shared" si="0"/>
        <v>378288.70092358341</v>
      </c>
      <c r="K4" s="61">
        <f t="shared" si="0"/>
        <v>379842.04911276133</v>
      </c>
      <c r="L4" s="84" t="s">
        <v>211</v>
      </c>
      <c r="N4" s="68">
        <f>0.15</f>
        <v>0.15</v>
      </c>
      <c r="O4" s="84" t="s">
        <v>165</v>
      </c>
    </row>
    <row r="5" spans="1:18" s="58" customFormat="1" ht="28.8" x14ac:dyDescent="0.3">
      <c r="A5" s="99" t="s">
        <v>191</v>
      </c>
      <c r="B5" s="61">
        <f>IF(0&lt;(B3-B4)/B3,B4,B3*(1-$N$5))</f>
        <v>369000</v>
      </c>
      <c r="C5" s="61">
        <f t="shared" ref="C5:K5" si="1">IF(0&lt;(C3-C4)/C3,C4,C3*(1-$N$5))</f>
        <v>371000</v>
      </c>
      <c r="D5" s="61">
        <f t="shared" si="1"/>
        <v>372000</v>
      </c>
      <c r="E5" s="61">
        <f t="shared" si="1"/>
        <v>373000</v>
      </c>
      <c r="F5" s="61">
        <f t="shared" si="1"/>
        <v>374000</v>
      </c>
      <c r="G5" s="61">
        <f t="shared" si="1"/>
        <v>374000</v>
      </c>
      <c r="H5" s="61">
        <f t="shared" si="1"/>
        <v>375201.03562509897</v>
      </c>
      <c r="I5" s="61">
        <f t="shared" si="1"/>
        <v>376741.70508692268</v>
      </c>
      <c r="J5" s="61">
        <f t="shared" si="1"/>
        <v>378288.70092358341</v>
      </c>
      <c r="K5" s="61">
        <f t="shared" si="1"/>
        <v>379842.04911276133</v>
      </c>
      <c r="L5" s="84" t="s">
        <v>271</v>
      </c>
      <c r="N5" s="68">
        <f>0.07</f>
        <v>7.0000000000000007E-2</v>
      </c>
      <c r="O5" s="84" t="s">
        <v>275</v>
      </c>
    </row>
    <row r="6" spans="1:18" s="58" customFormat="1" ht="28.8" x14ac:dyDescent="0.3">
      <c r="A6" s="99" t="s">
        <v>168</v>
      </c>
      <c r="B6" s="61">
        <v>0</v>
      </c>
      <c r="C6" s="61">
        <v>0</v>
      </c>
      <c r="D6" s="61">
        <v>0</v>
      </c>
      <c r="E6" s="61">
        <v>0</v>
      </c>
      <c r="F6" s="61">
        <v>0</v>
      </c>
      <c r="G6" s="61">
        <v>0</v>
      </c>
      <c r="H6" s="61">
        <v>0</v>
      </c>
      <c r="I6" s="61">
        <v>0</v>
      </c>
      <c r="J6" s="61">
        <v>0</v>
      </c>
      <c r="K6" s="61">
        <v>0</v>
      </c>
      <c r="L6" s="112" t="s">
        <v>237</v>
      </c>
      <c r="N6" s="63">
        <v>0.05</v>
      </c>
      <c r="O6" s="84" t="s">
        <v>200</v>
      </c>
    </row>
    <row r="7" spans="1:18" s="58" customFormat="1" ht="28.8" x14ac:dyDescent="0.3">
      <c r="A7" s="99" t="s">
        <v>169</v>
      </c>
      <c r="B7" s="61">
        <v>18441.666666666668</v>
      </c>
      <c r="C7" s="61">
        <f>B7</f>
        <v>18441.666666666668</v>
      </c>
      <c r="D7" s="61">
        <f t="shared" ref="D7:K7" si="2">C7</f>
        <v>18441.666666666668</v>
      </c>
      <c r="E7" s="61">
        <f t="shared" si="2"/>
        <v>18441.666666666668</v>
      </c>
      <c r="F7" s="61">
        <f t="shared" si="2"/>
        <v>18441.666666666668</v>
      </c>
      <c r="G7" s="61">
        <f t="shared" si="2"/>
        <v>18441.666666666668</v>
      </c>
      <c r="H7" s="61">
        <f t="shared" si="2"/>
        <v>18441.666666666668</v>
      </c>
      <c r="I7" s="61">
        <f t="shared" si="2"/>
        <v>18441.666666666668</v>
      </c>
      <c r="J7" s="61">
        <f t="shared" si="2"/>
        <v>18441.666666666668</v>
      </c>
      <c r="K7" s="61">
        <f t="shared" si="2"/>
        <v>18441.666666666668</v>
      </c>
      <c r="L7" s="84" t="s">
        <v>238</v>
      </c>
      <c r="O7" s="101"/>
    </row>
    <row r="8" spans="1:18" s="58" customFormat="1" x14ac:dyDescent="0.3">
      <c r="A8" s="99" t="s">
        <v>170</v>
      </c>
      <c r="B8" s="65">
        <v>3362</v>
      </c>
      <c r="C8" s="65">
        <f>B8</f>
        <v>3362</v>
      </c>
      <c r="D8" s="65">
        <f t="shared" ref="D8:K8" si="3">C8</f>
        <v>3362</v>
      </c>
      <c r="E8" s="65">
        <f t="shared" si="3"/>
        <v>3362</v>
      </c>
      <c r="F8" s="65">
        <f t="shared" si="3"/>
        <v>3362</v>
      </c>
      <c r="G8" s="65">
        <f t="shared" si="3"/>
        <v>3362</v>
      </c>
      <c r="H8" s="65">
        <f t="shared" si="3"/>
        <v>3362</v>
      </c>
      <c r="I8" s="65">
        <f t="shared" si="3"/>
        <v>3362</v>
      </c>
      <c r="J8" s="65">
        <f t="shared" si="3"/>
        <v>3362</v>
      </c>
      <c r="K8" s="65">
        <f t="shared" si="3"/>
        <v>3362</v>
      </c>
      <c r="L8" s="84" t="s">
        <v>236</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110700</v>
      </c>
      <c r="C10" s="61">
        <f t="shared" ref="C10:K10" si="4">C5*C9</f>
        <v>115010</v>
      </c>
      <c r="D10" s="61">
        <f t="shared" si="4"/>
        <v>122760</v>
      </c>
      <c r="E10" s="61">
        <f t="shared" si="4"/>
        <v>130549.99999999999</v>
      </c>
      <c r="F10" s="61">
        <f t="shared" si="4"/>
        <v>138380</v>
      </c>
      <c r="G10" s="61">
        <f t="shared" si="4"/>
        <v>142120</v>
      </c>
      <c r="H10" s="61">
        <f t="shared" si="4"/>
        <v>150080.41425003958</v>
      </c>
      <c r="I10" s="61">
        <f t="shared" si="4"/>
        <v>158231.51613650753</v>
      </c>
      <c r="J10" s="61">
        <f t="shared" si="4"/>
        <v>162664.14139714086</v>
      </c>
      <c r="K10" s="61">
        <f t="shared" si="4"/>
        <v>170928.92210074261</v>
      </c>
      <c r="L10" s="84" t="s">
        <v>376</v>
      </c>
      <c r="N10" s="122"/>
      <c r="O10" s="60"/>
    </row>
    <row r="11" spans="1:18" s="58" customFormat="1" ht="28.8" x14ac:dyDescent="0.3">
      <c r="A11" s="99" t="s">
        <v>172</v>
      </c>
      <c r="B11" s="61">
        <f t="shared" ref="B11:K11" si="5">MAX(B3-SUM(B6:B8,B10), B3*$N$6)</f>
        <v>250805.87093043423</v>
      </c>
      <c r="C11" s="61">
        <f t="shared" si="5"/>
        <v>248069.83593300343</v>
      </c>
      <c r="D11" s="61">
        <f t="shared" si="5"/>
        <v>241900.26403024237</v>
      </c>
      <c r="E11" s="61">
        <f t="shared" si="5"/>
        <v>235697.18176123718</v>
      </c>
      <c r="F11" s="61">
        <f t="shared" si="5"/>
        <v>229460.61577405003</v>
      </c>
      <c r="G11" s="61">
        <f t="shared" si="5"/>
        <v>227320.59282616686</v>
      </c>
      <c r="H11" s="61">
        <f t="shared" si="5"/>
        <v>220966.72553490684</v>
      </c>
      <c r="I11" s="61">
        <f t="shared" si="5"/>
        <v>214428.76749156404</v>
      </c>
      <c r="J11" s="61">
        <f t="shared" si="5"/>
        <v>211615.91004686154</v>
      </c>
      <c r="K11" s="61">
        <f t="shared" si="5"/>
        <v>204977.54833168827</v>
      </c>
      <c r="L11" s="84" t="s">
        <v>203</v>
      </c>
    </row>
    <row r="12" spans="1:18" s="58" customFormat="1" ht="43.8" x14ac:dyDescent="0.35">
      <c r="A12" s="99" t="s">
        <v>194</v>
      </c>
      <c r="B12" s="61">
        <f t="shared" ref="B12:K12" si="6">B6*$N$3+B11*$N$2</f>
        <v>109200.87620311107</v>
      </c>
      <c r="C12" s="61">
        <f t="shared" si="6"/>
        <v>108009.6065652297</v>
      </c>
      <c r="D12" s="61">
        <f t="shared" si="6"/>
        <v>105323.37495876753</v>
      </c>
      <c r="E12" s="61">
        <f t="shared" si="6"/>
        <v>102622.55293884267</v>
      </c>
      <c r="F12" s="61">
        <f t="shared" si="6"/>
        <v>99907.152108021386</v>
      </c>
      <c r="G12" s="61">
        <f t="shared" si="6"/>
        <v>98975.386116513051</v>
      </c>
      <c r="H12" s="61">
        <f t="shared" si="6"/>
        <v>96208.912297898438</v>
      </c>
      <c r="I12" s="61">
        <f t="shared" si="6"/>
        <v>93362.285365826989</v>
      </c>
      <c r="J12" s="61">
        <f t="shared" si="6"/>
        <v>92137.567234403512</v>
      </c>
      <c r="K12" s="61">
        <f t="shared" si="6"/>
        <v>89247.224543617078</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7">B12/B3</f>
        <v>0.28488953572006553</v>
      </c>
      <c r="C14" s="80">
        <f t="shared" si="7"/>
        <v>0.28062934845397625</v>
      </c>
      <c r="D14" s="80">
        <f t="shared" si="7"/>
        <v>0.27253093133125844</v>
      </c>
      <c r="E14" s="80">
        <f t="shared" si="7"/>
        <v>0.26445645810231738</v>
      </c>
      <c r="F14" s="80">
        <f t="shared" si="7"/>
        <v>0.25640605190510396</v>
      </c>
      <c r="G14" s="80">
        <f t="shared" si="7"/>
        <v>0.25297594460507605</v>
      </c>
      <c r="H14" s="80">
        <f t="shared" si="7"/>
        <v>0.24489936311165078</v>
      </c>
      <c r="I14" s="80">
        <f t="shared" si="7"/>
        <v>0.23668141358942416</v>
      </c>
      <c r="J14" s="80">
        <f t="shared" si="7"/>
        <v>0.232621445975872</v>
      </c>
      <c r="K14" s="80">
        <f t="shared" si="7"/>
        <v>0.22440268984488904</v>
      </c>
      <c r="L14" s="84" t="s">
        <v>206</v>
      </c>
    </row>
    <row r="15" spans="1:18" s="58" customFormat="1" ht="30.6" thickBot="1" x14ac:dyDescent="0.4">
      <c r="A15" s="99" t="s">
        <v>196</v>
      </c>
      <c r="B15" s="79">
        <f>$K$13*B14</f>
        <v>0</v>
      </c>
      <c r="C15" s="79">
        <f t="shared" ref="C15:K15" si="8">$K$13*C14</f>
        <v>0</v>
      </c>
      <c r="D15" s="79">
        <f t="shared" si="8"/>
        <v>0</v>
      </c>
      <c r="E15" s="79">
        <f t="shared" si="8"/>
        <v>0</v>
      </c>
      <c r="F15" s="79">
        <f t="shared" si="8"/>
        <v>0</v>
      </c>
      <c r="G15" s="79">
        <f t="shared" si="8"/>
        <v>0</v>
      </c>
      <c r="H15" s="79">
        <f t="shared" si="8"/>
        <v>0</v>
      </c>
      <c r="I15" s="79">
        <f t="shared" si="8"/>
        <v>0</v>
      </c>
      <c r="J15" s="79">
        <f t="shared" si="8"/>
        <v>0</v>
      </c>
      <c r="K15" s="79">
        <f t="shared" si="8"/>
        <v>0</v>
      </c>
      <c r="L15" s="84" t="s">
        <v>250</v>
      </c>
    </row>
    <row r="16" spans="1:18" ht="29.4" thickBot="1" x14ac:dyDescent="0.35">
      <c r="A16" s="179" t="s">
        <v>197</v>
      </c>
      <c r="B16" s="81">
        <f t="shared" ref="B16:K16" si="9">B12-B15</f>
        <v>109200.87620311107</v>
      </c>
      <c r="C16" s="81">
        <f t="shared" si="9"/>
        <v>108009.6065652297</v>
      </c>
      <c r="D16" s="81">
        <f t="shared" si="9"/>
        <v>105323.37495876753</v>
      </c>
      <c r="E16" s="81">
        <f t="shared" si="9"/>
        <v>102622.55293884267</v>
      </c>
      <c r="F16" s="81">
        <f t="shared" si="9"/>
        <v>99907.152108021386</v>
      </c>
      <c r="G16" s="81">
        <f t="shared" si="9"/>
        <v>98975.386116513051</v>
      </c>
      <c r="H16" s="81">
        <f t="shared" si="9"/>
        <v>96208.912297898438</v>
      </c>
      <c r="I16" s="81">
        <f t="shared" si="9"/>
        <v>93362.285365826989</v>
      </c>
      <c r="J16" s="81">
        <f t="shared" si="9"/>
        <v>92137.567234403512</v>
      </c>
      <c r="K16" s="81">
        <f t="shared" si="9"/>
        <v>89247.224543617078</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179</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155441.92478313806</v>
      </c>
      <c r="C3" s="65">
        <f>B3*(1+$N$8)</f>
        <v>156080.20827348475</v>
      </c>
      <c r="D3" s="65">
        <f>C3*(1+$N$8)</f>
        <v>156721.1127157697</v>
      </c>
      <c r="E3" s="65">
        <f>D3*(1+$N$8)</f>
        <v>157364.64887227828</v>
      </c>
      <c r="F3" s="65">
        <f>E3*(1+$N$8)</f>
        <v>158010.82754948849</v>
      </c>
      <c r="G3" s="65">
        <f>F3*(1+$N$8)</f>
        <v>158659.65959825244</v>
      </c>
      <c r="H3" s="65">
        <f t="shared" ref="H3:K4" si="0">G3*(1+$N$8)</f>
        <v>159311.15591397855</v>
      </c>
      <c r="I3" s="65">
        <f t="shared" si="0"/>
        <v>159965.32743681452</v>
      </c>
      <c r="J3" s="65">
        <f t="shared" si="0"/>
        <v>160622.18515183101</v>
      </c>
      <c r="K3" s="65">
        <f t="shared" si="0"/>
        <v>161281.7400892062</v>
      </c>
      <c r="L3" s="84" t="s">
        <v>210</v>
      </c>
      <c r="N3" s="62">
        <v>0.91839999999999999</v>
      </c>
      <c r="O3" s="8" t="s">
        <v>199</v>
      </c>
    </row>
    <row r="4" spans="1:18" s="58" customFormat="1" ht="57.6" x14ac:dyDescent="0.3">
      <c r="A4" s="99" t="s">
        <v>167</v>
      </c>
      <c r="B4" s="61">
        <f>SUMIFS('Form 1.1c'!J:J, 'Form 1.1c'!$B:$B, "City of Corona")*1000</f>
        <v>154000</v>
      </c>
      <c r="C4" s="61">
        <f>SUMIFS('Form 1.1c'!K:K, 'Form 1.1c'!$B:$B, "City of Corona")*1000</f>
        <v>155000</v>
      </c>
      <c r="D4" s="61">
        <f>SUMIFS('Form 1.1c'!L:L, 'Form 1.1c'!$B:$B, "City of Corona")*1000</f>
        <v>155000</v>
      </c>
      <c r="E4" s="61">
        <f>SUMIFS('Form 1.1c'!M:M, 'Form 1.1c'!$B:$B, "City of Corona")*1000</f>
        <v>156000</v>
      </c>
      <c r="F4" s="61">
        <f>SUMIFS('Form 1.1c'!N:N, 'Form 1.1c'!$B:$B, "City of Corona")*1000</f>
        <v>156000</v>
      </c>
      <c r="G4" s="61">
        <f>SUMIFS('Form 1.1c'!O:O, 'Form 1.1c'!$B:$B, "City of Corona")*1000</f>
        <v>156000</v>
      </c>
      <c r="H4" s="65">
        <f>AVERAGE(E4:G4)*(1+$N$8)</f>
        <v>156640.57508701721</v>
      </c>
      <c r="I4" s="61">
        <f t="shared" si="0"/>
        <v>157283.78053584279</v>
      </c>
      <c r="J4" s="61">
        <f t="shared" si="0"/>
        <v>157929.62714740139</v>
      </c>
      <c r="K4" s="61">
        <f t="shared" si="0"/>
        <v>158578.12576696897</v>
      </c>
      <c r="L4" s="84" t="s">
        <v>211</v>
      </c>
      <c r="N4" s="68">
        <f>0.15</f>
        <v>0.15</v>
      </c>
      <c r="O4" s="84" t="s">
        <v>165</v>
      </c>
    </row>
    <row r="5" spans="1:18" s="58" customFormat="1" ht="28.8" x14ac:dyDescent="0.3">
      <c r="A5" s="99" t="s">
        <v>191</v>
      </c>
      <c r="B5" s="61">
        <f>IF(0&lt;(B3-B4)/B3,B4,B3*(1-$N$5))</f>
        <v>154000</v>
      </c>
      <c r="C5" s="61">
        <f t="shared" ref="C5:K5" si="1">IF(0&lt;(C3-C4)/C3,C4,C3*(1-$N$5))</f>
        <v>155000</v>
      </c>
      <c r="D5" s="61">
        <f t="shared" si="1"/>
        <v>155000</v>
      </c>
      <c r="E5" s="61">
        <f t="shared" si="1"/>
        <v>156000</v>
      </c>
      <c r="F5" s="61">
        <f t="shared" si="1"/>
        <v>156000</v>
      </c>
      <c r="G5" s="61">
        <f t="shared" si="1"/>
        <v>156000</v>
      </c>
      <c r="H5" s="61">
        <f t="shared" si="1"/>
        <v>156640.57508701721</v>
      </c>
      <c r="I5" s="61">
        <f t="shared" si="1"/>
        <v>157283.78053584279</v>
      </c>
      <c r="J5" s="61">
        <f t="shared" si="1"/>
        <v>157929.62714740139</v>
      </c>
      <c r="K5" s="61">
        <f t="shared" si="1"/>
        <v>158578.12576696897</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5">
        <v>9000</v>
      </c>
      <c r="C8" s="65">
        <f>B8</f>
        <v>9000</v>
      </c>
      <c r="D8" s="65">
        <f t="shared" ref="D8:K8" si="2">C8</f>
        <v>9000</v>
      </c>
      <c r="E8" s="65">
        <f t="shared" si="2"/>
        <v>9000</v>
      </c>
      <c r="F8" s="65">
        <f t="shared" si="2"/>
        <v>9000</v>
      </c>
      <c r="G8" s="65">
        <f t="shared" si="2"/>
        <v>9000</v>
      </c>
      <c r="H8" s="65">
        <f t="shared" si="2"/>
        <v>9000</v>
      </c>
      <c r="I8" s="65">
        <f t="shared" si="2"/>
        <v>9000</v>
      </c>
      <c r="J8" s="65">
        <f t="shared" si="2"/>
        <v>9000</v>
      </c>
      <c r="K8" s="65">
        <f t="shared" si="2"/>
        <v>9000</v>
      </c>
      <c r="L8" s="84" t="s">
        <v>236</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46200</v>
      </c>
      <c r="C10" s="61">
        <f t="shared" ref="C10:K10" si="3">C5*C9</f>
        <v>48050</v>
      </c>
      <c r="D10" s="61">
        <f t="shared" si="3"/>
        <v>51150</v>
      </c>
      <c r="E10" s="61">
        <f t="shared" si="3"/>
        <v>54600</v>
      </c>
      <c r="F10" s="61">
        <f t="shared" si="3"/>
        <v>57720</v>
      </c>
      <c r="G10" s="61">
        <f t="shared" si="3"/>
        <v>59280</v>
      </c>
      <c r="H10" s="61">
        <f t="shared" si="3"/>
        <v>62656.230034806882</v>
      </c>
      <c r="I10" s="61">
        <f t="shared" si="3"/>
        <v>66059.187825053974</v>
      </c>
      <c r="J10" s="61">
        <f t="shared" si="3"/>
        <v>67909.739673382603</v>
      </c>
      <c r="K10" s="61">
        <f t="shared" si="3"/>
        <v>71360.156595136039</v>
      </c>
      <c r="L10" s="84" t="s">
        <v>376</v>
      </c>
      <c r="N10" s="122"/>
      <c r="O10" s="60"/>
    </row>
    <row r="11" spans="1:18" s="58" customFormat="1" ht="28.8" x14ac:dyDescent="0.3">
      <c r="A11" s="99" t="s">
        <v>172</v>
      </c>
      <c r="B11" s="61">
        <f t="shared" ref="B11:K11" si="4">MAX(B3-SUM(B6:B8,B10), B3*$N$6)</f>
        <v>100241.92478313806</v>
      </c>
      <c r="C11" s="61">
        <f t="shared" si="4"/>
        <v>99030.20827348475</v>
      </c>
      <c r="D11" s="61">
        <f t="shared" si="4"/>
        <v>96571.112715769705</v>
      </c>
      <c r="E11" s="61">
        <f t="shared" si="4"/>
        <v>93764.648872278281</v>
      </c>
      <c r="F11" s="61">
        <f t="shared" si="4"/>
        <v>91290.827549488487</v>
      </c>
      <c r="G11" s="61">
        <f t="shared" si="4"/>
        <v>90379.659598252445</v>
      </c>
      <c r="H11" s="61">
        <f t="shared" si="4"/>
        <v>87654.925879171671</v>
      </c>
      <c r="I11" s="61">
        <f t="shared" si="4"/>
        <v>84906.139611760547</v>
      </c>
      <c r="J11" s="61">
        <f t="shared" si="4"/>
        <v>83712.445478448411</v>
      </c>
      <c r="K11" s="61">
        <f t="shared" si="4"/>
        <v>80921.583494070161</v>
      </c>
      <c r="L11" s="84" t="s">
        <v>203</v>
      </c>
    </row>
    <row r="12" spans="1:18" s="58" customFormat="1" ht="43.8" x14ac:dyDescent="0.35">
      <c r="A12" s="99" t="s">
        <v>194</v>
      </c>
      <c r="B12" s="61">
        <f t="shared" ref="B12:K12" si="5">B6*$N$3+B11*$N$2</f>
        <v>43645.334050578313</v>
      </c>
      <c r="C12" s="61">
        <f t="shared" si="5"/>
        <v>43117.752682275262</v>
      </c>
      <c r="D12" s="61">
        <f t="shared" si="5"/>
        <v>42047.062476446132</v>
      </c>
      <c r="E12" s="61">
        <f t="shared" si="5"/>
        <v>40825.128118989967</v>
      </c>
      <c r="F12" s="61">
        <f t="shared" si="5"/>
        <v>39748.026315047289</v>
      </c>
      <c r="G12" s="61">
        <f t="shared" si="5"/>
        <v>39351.303789079117</v>
      </c>
      <c r="H12" s="61">
        <f t="shared" si="5"/>
        <v>38164.954727791344</v>
      </c>
      <c r="I12" s="61">
        <f t="shared" si="5"/>
        <v>36968.133186960542</v>
      </c>
      <c r="J12" s="61">
        <f t="shared" si="5"/>
        <v>36448.398761316443</v>
      </c>
      <c r="K12" s="61">
        <f t="shared" si="5"/>
        <v>35233.257453318147</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0.2807822542822298</v>
      </c>
      <c r="C14" s="80">
        <f t="shared" si="6"/>
        <v>0.27625381308259184</v>
      </c>
      <c r="D14" s="80">
        <f t="shared" si="6"/>
        <v>0.26829226610139578</v>
      </c>
      <c r="E14" s="80">
        <f t="shared" si="6"/>
        <v>0.25943010969461655</v>
      </c>
      <c r="F14" s="80">
        <f t="shared" si="6"/>
        <v>0.25155254821128215</v>
      </c>
      <c r="G14" s="80">
        <f t="shared" si="6"/>
        <v>0.2480233720954772</v>
      </c>
      <c r="H14" s="80">
        <f t="shared" si="6"/>
        <v>0.23956234896945222</v>
      </c>
      <c r="I14" s="80">
        <f t="shared" si="6"/>
        <v>0.23110091279976133</v>
      </c>
      <c r="J14" s="80">
        <f t="shared" si="6"/>
        <v>0.22692007786385759</v>
      </c>
      <c r="K14" s="80">
        <f t="shared" si="6"/>
        <v>0.21845782066730154</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43645.334050578313</v>
      </c>
      <c r="C16" s="81">
        <f t="shared" si="8"/>
        <v>43117.752682275262</v>
      </c>
      <c r="D16" s="81">
        <f t="shared" si="8"/>
        <v>42047.062476446132</v>
      </c>
      <c r="E16" s="81">
        <f t="shared" si="8"/>
        <v>40825.128118989967</v>
      </c>
      <c r="F16" s="81">
        <f t="shared" si="8"/>
        <v>39748.026315047289</v>
      </c>
      <c r="G16" s="81">
        <f t="shared" si="8"/>
        <v>39351.303789079117</v>
      </c>
      <c r="H16" s="81">
        <f t="shared" si="8"/>
        <v>38164.954727791344</v>
      </c>
      <c r="I16" s="81">
        <f t="shared" si="8"/>
        <v>36968.133186960542</v>
      </c>
      <c r="J16" s="81">
        <f t="shared" si="8"/>
        <v>36448.398761316443</v>
      </c>
      <c r="K16" s="81">
        <f t="shared" si="8"/>
        <v>35233.257453318147</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 min="16" max="17" width="12" customWidth="1"/>
    <col min="18" max="18" width="9.109375" customWidth="1"/>
    <col min="19" max="19" width="14.33203125" customWidth="1"/>
    <col min="20" max="20" width="10.6640625" bestFit="1" customWidth="1"/>
  </cols>
  <sheetData>
    <row r="1" spans="1:16" s="58" customFormat="1" ht="15.6" x14ac:dyDescent="0.3">
      <c r="A1" s="97" t="s">
        <v>93</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58.8" x14ac:dyDescent="0.35">
      <c r="A3" s="99" t="s">
        <v>166</v>
      </c>
      <c r="B3" s="61">
        <v>1192000</v>
      </c>
      <c r="C3" s="61">
        <v>1203000</v>
      </c>
      <c r="D3" s="61">
        <v>1208000</v>
      </c>
      <c r="E3" s="61">
        <v>1212000</v>
      </c>
      <c r="F3" s="61">
        <v>1217000</v>
      </c>
      <c r="G3" s="61">
        <v>1219000</v>
      </c>
      <c r="H3" s="65">
        <f>AVERAGE(E3:G3)*(1+$N$8)</f>
        <v>1219041.4936418489</v>
      </c>
      <c r="I3" s="65">
        <f t="shared" ref="I3:K4" si="0">H3*(1+$N$8)</f>
        <v>1222090.5947537418</v>
      </c>
      <c r="J3" s="65">
        <f t="shared" si="0"/>
        <v>1225147.3223636982</v>
      </c>
      <c r="K3" s="65">
        <f t="shared" si="0"/>
        <v>1228211.6955473309</v>
      </c>
      <c r="L3" s="84" t="s">
        <v>209</v>
      </c>
      <c r="N3" s="62">
        <v>0.91839999999999999</v>
      </c>
      <c r="O3" s="8" t="s">
        <v>199</v>
      </c>
    </row>
    <row r="4" spans="1:16" s="58" customFormat="1" ht="57.6" x14ac:dyDescent="0.3">
      <c r="A4" s="99" t="s">
        <v>167</v>
      </c>
      <c r="B4" s="61">
        <f>SUMIFS('Form 1.1c'!J:J, 'Form 1.1c'!$B:$B, "City of Glendale")*1000</f>
        <v>1121000</v>
      </c>
      <c r="C4" s="61">
        <f>SUMIFS('Form 1.1c'!K:K, 'Form 1.1c'!$B:$B, "City of Glendale")*1000</f>
        <v>1131000</v>
      </c>
      <c r="D4" s="61">
        <f>SUMIFS('Form 1.1c'!L:L, 'Form 1.1c'!$B:$B, "City of Glendale")*1000</f>
        <v>1136000</v>
      </c>
      <c r="E4" s="61">
        <f>SUMIFS('Form 1.1c'!M:M, 'Form 1.1c'!$B:$B, "City of Glendale")*1000</f>
        <v>1139000</v>
      </c>
      <c r="F4" s="61">
        <f>SUMIFS('Form 1.1c'!N:N, 'Form 1.1c'!$B:$B, "City of Glendale")*1000</f>
        <v>1144000</v>
      </c>
      <c r="G4" s="61">
        <f>SUMIFS('Form 1.1c'!O:O, 'Form 1.1c'!$B:$B, "City of Glendale")*1000</f>
        <v>1146000</v>
      </c>
      <c r="H4" s="65">
        <f>AVERAGE(E4:G4)*(1+$N$8)</f>
        <v>1145858.903974205</v>
      </c>
      <c r="I4" s="61">
        <f t="shared" si="0"/>
        <v>1148724.9587200058</v>
      </c>
      <c r="J4" s="61">
        <f t="shared" si="0"/>
        <v>1151598.1821231146</v>
      </c>
      <c r="K4" s="61">
        <f t="shared" si="0"/>
        <v>1154478.5921139801</v>
      </c>
      <c r="L4" s="84" t="s">
        <v>211</v>
      </c>
      <c r="N4" s="68">
        <f>0.15</f>
        <v>0.15</v>
      </c>
      <c r="O4" s="84" t="s">
        <v>165</v>
      </c>
    </row>
    <row r="5" spans="1:16" s="58" customFormat="1" ht="28.8" x14ac:dyDescent="0.3">
      <c r="A5" s="99" t="s">
        <v>191</v>
      </c>
      <c r="B5" s="61">
        <f>IF(0&lt;(B3-B4)/B3,B4,B3*(1-$N$5))</f>
        <v>1121000</v>
      </c>
      <c r="C5" s="61">
        <f t="shared" ref="C5:K5" si="1">IF(0&lt;(C3-C4)/C3,C4,C3*(1-$N$5))</f>
        <v>1131000</v>
      </c>
      <c r="D5" s="61">
        <f t="shared" si="1"/>
        <v>1136000</v>
      </c>
      <c r="E5" s="61">
        <f t="shared" si="1"/>
        <v>1139000</v>
      </c>
      <c r="F5" s="61">
        <f t="shared" si="1"/>
        <v>1144000</v>
      </c>
      <c r="G5" s="61">
        <f t="shared" si="1"/>
        <v>1146000</v>
      </c>
      <c r="H5" s="61">
        <f t="shared" si="1"/>
        <v>1145858.903974205</v>
      </c>
      <c r="I5" s="61">
        <f t="shared" si="1"/>
        <v>1148724.9587200058</v>
      </c>
      <c r="J5" s="61">
        <f t="shared" si="1"/>
        <v>1151598.1821231146</v>
      </c>
      <c r="K5" s="61">
        <f t="shared" si="1"/>
        <v>1154478.5921139801</v>
      </c>
      <c r="L5" s="84" t="s">
        <v>271</v>
      </c>
      <c r="N5" s="68">
        <f>0.07</f>
        <v>7.0000000000000007E-2</v>
      </c>
      <c r="O5" s="84" t="s">
        <v>275</v>
      </c>
    </row>
    <row r="6" spans="1:16" s="58" customFormat="1" ht="43.2" x14ac:dyDescent="0.3">
      <c r="A6" s="99" t="s">
        <v>168</v>
      </c>
      <c r="B6" s="61">
        <v>253000</v>
      </c>
      <c r="C6" s="61">
        <v>253000</v>
      </c>
      <c r="D6" s="61">
        <v>253000</v>
      </c>
      <c r="E6" s="61">
        <v>253000</v>
      </c>
      <c r="F6" s="61">
        <f>AVERAGE(C6:E6)</f>
        <v>253000</v>
      </c>
      <c r="G6" s="61">
        <f>F6</f>
        <v>253000</v>
      </c>
      <c r="H6" s="61">
        <f>G6/2</f>
        <v>126500</v>
      </c>
      <c r="I6" s="61">
        <v>0</v>
      </c>
      <c r="J6" s="61">
        <v>0</v>
      </c>
      <c r="K6" s="61">
        <v>0</v>
      </c>
      <c r="L6" s="103" t="s">
        <v>233</v>
      </c>
      <c r="N6" s="63">
        <v>0.05</v>
      </c>
      <c r="O6" s="84" t="s">
        <v>200</v>
      </c>
    </row>
    <row r="7" spans="1:16" s="58" customFormat="1" ht="43.2" x14ac:dyDescent="0.3">
      <c r="A7" s="99" t="s">
        <v>169</v>
      </c>
      <c r="B7" s="61">
        <v>76000</v>
      </c>
      <c r="C7" s="61">
        <v>76000</v>
      </c>
      <c r="D7" s="61">
        <v>76000</v>
      </c>
      <c r="E7" s="61">
        <v>76000</v>
      </c>
      <c r="F7" s="61">
        <f>AVERAGE(C7:E7)</f>
        <v>76000</v>
      </c>
      <c r="G7" s="61">
        <f>F7</f>
        <v>76000</v>
      </c>
      <c r="H7" s="61">
        <f t="shared" ref="H7:K8" si="2">G7</f>
        <v>76000</v>
      </c>
      <c r="I7" s="61">
        <f t="shared" si="2"/>
        <v>76000</v>
      </c>
      <c r="J7" s="61">
        <f t="shared" si="2"/>
        <v>76000</v>
      </c>
      <c r="K7" s="61">
        <f t="shared" si="2"/>
        <v>76000</v>
      </c>
      <c r="L7" s="84" t="s">
        <v>234</v>
      </c>
      <c r="O7" s="101"/>
    </row>
    <row r="8" spans="1:16" s="58" customFormat="1" ht="28.8" x14ac:dyDescent="0.3">
      <c r="A8" s="99" t="s">
        <v>170</v>
      </c>
      <c r="B8" s="65">
        <v>54000</v>
      </c>
      <c r="C8" s="65">
        <v>54000</v>
      </c>
      <c r="D8" s="65">
        <v>54000</v>
      </c>
      <c r="E8" s="65">
        <v>54000</v>
      </c>
      <c r="F8" s="61">
        <f>AVERAGE(C8:E8)</f>
        <v>54000</v>
      </c>
      <c r="G8" s="61">
        <f>F8</f>
        <v>54000</v>
      </c>
      <c r="H8" s="61">
        <f t="shared" si="2"/>
        <v>54000</v>
      </c>
      <c r="I8" s="61">
        <f t="shared" si="2"/>
        <v>54000</v>
      </c>
      <c r="J8" s="61">
        <f t="shared" si="2"/>
        <v>54000</v>
      </c>
      <c r="K8" s="61">
        <f t="shared" si="2"/>
        <v>54000</v>
      </c>
      <c r="L8" s="84" t="s">
        <v>230</v>
      </c>
      <c r="N8" s="64">
        <v>2.5012283238889932E-3</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336300</v>
      </c>
      <c r="C10" s="61">
        <f t="shared" ref="C10:K10" si="3">C5*C9</f>
        <v>350610</v>
      </c>
      <c r="D10" s="61">
        <f t="shared" si="3"/>
        <v>374880</v>
      </c>
      <c r="E10" s="61">
        <f t="shared" si="3"/>
        <v>398650</v>
      </c>
      <c r="F10" s="61">
        <f t="shared" si="3"/>
        <v>423280</v>
      </c>
      <c r="G10" s="61">
        <f t="shared" si="3"/>
        <v>435480</v>
      </c>
      <c r="H10" s="61">
        <f t="shared" si="3"/>
        <v>458343.56158968201</v>
      </c>
      <c r="I10" s="61">
        <f t="shared" si="3"/>
        <v>482464.48266240244</v>
      </c>
      <c r="J10" s="61">
        <f t="shared" si="3"/>
        <v>495187.21831293928</v>
      </c>
      <c r="K10" s="61">
        <f t="shared" si="3"/>
        <v>519515.36645129108</v>
      </c>
      <c r="L10" s="84" t="s">
        <v>376</v>
      </c>
      <c r="N10" s="122"/>
      <c r="O10" s="60"/>
    </row>
    <row r="11" spans="1:16" s="58" customFormat="1" ht="28.8" x14ac:dyDescent="0.3">
      <c r="A11" s="99" t="s">
        <v>172</v>
      </c>
      <c r="B11" s="61">
        <f t="shared" ref="B11:K11" si="4">MAX(B3-SUM(B6:B8,B10), B3*$N$6)</f>
        <v>472700</v>
      </c>
      <c r="C11" s="61">
        <f t="shared" si="4"/>
        <v>469390</v>
      </c>
      <c r="D11" s="61">
        <f t="shared" si="4"/>
        <v>450120</v>
      </c>
      <c r="E11" s="61">
        <f t="shared" si="4"/>
        <v>430350</v>
      </c>
      <c r="F11" s="61">
        <f t="shared" si="4"/>
        <v>410720</v>
      </c>
      <c r="G11" s="61">
        <f t="shared" si="4"/>
        <v>400520</v>
      </c>
      <c r="H11" s="61">
        <f t="shared" si="4"/>
        <v>504197.9320521669</v>
      </c>
      <c r="I11" s="61">
        <f t="shared" si="4"/>
        <v>609626.11209133931</v>
      </c>
      <c r="J11" s="61">
        <f t="shared" si="4"/>
        <v>599960.10405075888</v>
      </c>
      <c r="K11" s="61">
        <f t="shared" si="4"/>
        <v>578696.32909603976</v>
      </c>
      <c r="L11" s="84" t="s">
        <v>203</v>
      </c>
    </row>
    <row r="12" spans="1:16" s="58" customFormat="1" ht="43.8" x14ac:dyDescent="0.35">
      <c r="A12" s="99" t="s">
        <v>194</v>
      </c>
      <c r="B12" s="61">
        <f t="shared" ref="B12:K12" si="5">B6*$N$3+B11*$N$2</f>
        <v>438168.78</v>
      </c>
      <c r="C12" s="61">
        <f t="shared" si="5"/>
        <v>436727.60600000003</v>
      </c>
      <c r="D12" s="61">
        <f t="shared" si="5"/>
        <v>428337.44799999997</v>
      </c>
      <c r="E12" s="61">
        <f t="shared" si="5"/>
        <v>419729.59</v>
      </c>
      <c r="F12" s="61">
        <f t="shared" si="5"/>
        <v>411182.68800000002</v>
      </c>
      <c r="G12" s="61">
        <f t="shared" si="5"/>
        <v>406741.60800000001</v>
      </c>
      <c r="H12" s="61">
        <f t="shared" si="5"/>
        <v>335705.37961551349</v>
      </c>
      <c r="I12" s="61">
        <f t="shared" si="5"/>
        <v>265431.20920456917</v>
      </c>
      <c r="J12" s="61">
        <f t="shared" si="5"/>
        <v>261222.62930370041</v>
      </c>
      <c r="K12" s="61">
        <f t="shared" si="5"/>
        <v>251964.38168841571</v>
      </c>
      <c r="L12" s="102" t="s">
        <v>204</v>
      </c>
    </row>
    <row r="13" spans="1:16" s="58" customFormat="1" ht="72" x14ac:dyDescent="0.3">
      <c r="A13" s="99"/>
      <c r="B13" s="204" t="s">
        <v>205</v>
      </c>
      <c r="C13" s="205"/>
      <c r="D13" s="205"/>
      <c r="E13" s="205"/>
      <c r="F13" s="205"/>
      <c r="G13" s="205"/>
      <c r="H13" s="205"/>
      <c r="I13" s="205"/>
      <c r="J13" s="206"/>
      <c r="K13" s="83">
        <v>0</v>
      </c>
      <c r="L13" s="102" t="s">
        <v>368</v>
      </c>
    </row>
    <row r="14" spans="1:16" s="58" customFormat="1" ht="30" x14ac:dyDescent="0.35">
      <c r="A14" s="99" t="s">
        <v>195</v>
      </c>
      <c r="B14" s="80">
        <f t="shared" ref="B14:K14" si="6">B12/B3</f>
        <v>0.36759125838926177</v>
      </c>
      <c r="C14" s="80">
        <f t="shared" si="6"/>
        <v>0.36303209143807152</v>
      </c>
      <c r="D14" s="80">
        <f t="shared" si="6"/>
        <v>0.35458398013245029</v>
      </c>
      <c r="E14" s="80">
        <f t="shared" si="6"/>
        <v>0.34631154290429045</v>
      </c>
      <c r="F14" s="80">
        <f t="shared" si="6"/>
        <v>0.33786580772391128</v>
      </c>
      <c r="G14" s="80">
        <f t="shared" si="6"/>
        <v>0.33366825922887611</v>
      </c>
      <c r="H14" s="80">
        <f t="shared" si="6"/>
        <v>0.27538470295428913</v>
      </c>
      <c r="I14" s="80">
        <f t="shared" si="6"/>
        <v>0.21719438014172351</v>
      </c>
      <c r="J14" s="80">
        <f t="shared" si="6"/>
        <v>0.21321732050943801</v>
      </c>
      <c r="K14" s="80">
        <f t="shared" si="6"/>
        <v>0.20514735578717333</v>
      </c>
      <c r="L14" s="84" t="s">
        <v>206</v>
      </c>
    </row>
    <row r="15" spans="1:16"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c r="N15"/>
      <c r="O15"/>
    </row>
    <row r="16" spans="1:16" ht="29.4" thickBot="1" x14ac:dyDescent="0.35">
      <c r="A16" s="179" t="s">
        <v>197</v>
      </c>
      <c r="B16" s="81">
        <f t="shared" ref="B16:K16" si="8">B12-B15</f>
        <v>438168.78</v>
      </c>
      <c r="C16" s="81">
        <f t="shared" si="8"/>
        <v>436727.60600000003</v>
      </c>
      <c r="D16" s="81">
        <f t="shared" si="8"/>
        <v>428337.44799999997</v>
      </c>
      <c r="E16" s="81">
        <f t="shared" si="8"/>
        <v>419729.59</v>
      </c>
      <c r="F16" s="81">
        <f t="shared" si="8"/>
        <v>411182.68800000002</v>
      </c>
      <c r="G16" s="81">
        <f t="shared" si="8"/>
        <v>406741.60800000001</v>
      </c>
      <c r="H16" s="81">
        <f t="shared" si="8"/>
        <v>335705.37961551349</v>
      </c>
      <c r="I16" s="81">
        <f t="shared" si="8"/>
        <v>265431.20920456917</v>
      </c>
      <c r="J16" s="81">
        <f t="shared" si="8"/>
        <v>261222.62930370041</v>
      </c>
      <c r="K16" s="81">
        <f t="shared" si="8"/>
        <v>251964.38168841571</v>
      </c>
      <c r="L16" s="88" t="s">
        <v>265</v>
      </c>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82"/>
      <c r="J18" s="82"/>
      <c r="K18" s="82"/>
      <c r="N18" s="4"/>
      <c r="O18" s="4"/>
    </row>
  </sheetData>
  <mergeCells count="3">
    <mergeCell ref="B1:L1"/>
    <mergeCell ref="N1:O1"/>
    <mergeCell ref="B13:J1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12" max="12" width="49.33203125" customWidth="1"/>
    <col min="15" max="15" width="36.5546875" customWidth="1"/>
  </cols>
  <sheetData>
    <row r="1" spans="1:15" s="58" customFormat="1" x14ac:dyDescent="0.3">
      <c r="A1" s="97" t="s">
        <v>46</v>
      </c>
      <c r="B1" s="199" t="s">
        <v>173</v>
      </c>
      <c r="C1" s="200"/>
      <c r="D1" s="200"/>
      <c r="E1" s="200"/>
      <c r="F1" s="200"/>
      <c r="G1" s="200"/>
      <c r="H1" s="200"/>
      <c r="I1" s="200"/>
      <c r="J1" s="200"/>
      <c r="K1" s="200"/>
      <c r="L1" s="201"/>
      <c r="N1" s="202" t="s">
        <v>193</v>
      </c>
      <c r="O1" s="203"/>
    </row>
    <row r="2" spans="1:15" s="58" customFormat="1" x14ac:dyDescent="0.3">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248</v>
      </c>
    </row>
    <row r="3" spans="1:15" s="58" customFormat="1" ht="72.599999999999994" x14ac:dyDescent="0.35">
      <c r="A3" s="99" t="s">
        <v>166</v>
      </c>
      <c r="B3" s="61">
        <v>83362.621808560798</v>
      </c>
      <c r="C3" s="61">
        <v>83908.877148411542</v>
      </c>
      <c r="D3" s="61">
        <v>84373.658303771255</v>
      </c>
      <c r="E3" s="61">
        <v>84959.64</v>
      </c>
      <c r="F3" s="61">
        <v>85456.48</v>
      </c>
      <c r="G3" s="61">
        <v>85953.32</v>
      </c>
      <c r="H3" s="65">
        <f>AVERAGE(E3:G3)*(1+$N$8)</f>
        <v>85804.64027763487</v>
      </c>
      <c r="I3" s="65">
        <f t="shared" ref="I3:K4" si="0">H3*(1+$N$8)</f>
        <v>86154.219003337377</v>
      </c>
      <c r="J3" s="65">
        <f t="shared" si="0"/>
        <v>86505.221956040521</v>
      </c>
      <c r="K3" s="65">
        <f t="shared" si="0"/>
        <v>86857.6549382214</v>
      </c>
      <c r="L3" s="84" t="s">
        <v>254</v>
      </c>
      <c r="N3" s="62">
        <v>0.91839999999999999</v>
      </c>
      <c r="O3" s="8" t="s">
        <v>199</v>
      </c>
    </row>
    <row r="4" spans="1:15" s="58" customFormat="1" ht="57.6" x14ac:dyDescent="0.3">
      <c r="A4" s="99" t="s">
        <v>167</v>
      </c>
      <c r="B4" s="61">
        <f>SUMIFS('Form 1.1c'!J:J, 'Form 1.1c'!$B:$B, "City of Healdsburg")*1000</f>
        <v>76000</v>
      </c>
      <c r="C4" s="61">
        <f>SUMIFS('Form 1.1c'!K:K, 'Form 1.1c'!$B:$B, "City of Healdsburg")*1000</f>
        <v>77000</v>
      </c>
      <c r="D4" s="61">
        <f>SUMIFS('Form 1.1c'!L:L, 'Form 1.1c'!$B:$B, "City of Healdsburg")*1000</f>
        <v>77000</v>
      </c>
      <c r="E4" s="61">
        <f>SUMIFS('Form 1.1c'!M:M, 'Form 1.1c'!$B:$B, "City of Healdsburg")*1000</f>
        <v>78000</v>
      </c>
      <c r="F4" s="61">
        <f>SUMIFS('Form 1.1c'!N:N, 'Form 1.1c'!$B:$B, "City of Healdsburg")*1000</f>
        <v>78000</v>
      </c>
      <c r="G4" s="61">
        <f>SUMIFS('Form 1.1c'!O:O, 'Form 1.1c'!$B:$B, "City of Healdsburg")*1000</f>
        <v>78000</v>
      </c>
      <c r="H4" s="65">
        <f>AVERAGE(E4:G4)*(1+$N$8)</f>
        <v>78317.781655124578</v>
      </c>
      <c r="I4" s="61">
        <f t="shared" si="0"/>
        <v>78636.857992048303</v>
      </c>
      <c r="J4" s="61">
        <f t="shared" si="0"/>
        <v>78957.234285465078</v>
      </c>
      <c r="K4" s="61">
        <f t="shared" si="0"/>
        <v>79278.915831558581</v>
      </c>
      <c r="L4" s="84" t="s">
        <v>211</v>
      </c>
      <c r="N4" s="68">
        <f>0.15</f>
        <v>0.15</v>
      </c>
      <c r="O4" s="59" t="s">
        <v>165</v>
      </c>
    </row>
    <row r="5" spans="1:15" s="58" customFormat="1" ht="28.8" x14ac:dyDescent="0.3">
      <c r="A5" s="99" t="s">
        <v>191</v>
      </c>
      <c r="B5" s="61">
        <f>IF(0&lt;(B3-B4)/B3,B4,B3*(1-$N$5))</f>
        <v>76000</v>
      </c>
      <c r="C5" s="61">
        <f t="shared" ref="C5:K5" si="1">IF(0&lt;(C3-C4)/C3,C4,C3*(1-$N$5))</f>
        <v>77000</v>
      </c>
      <c r="D5" s="61">
        <f t="shared" si="1"/>
        <v>77000</v>
      </c>
      <c r="E5" s="61">
        <f t="shared" si="1"/>
        <v>78000</v>
      </c>
      <c r="F5" s="61">
        <f t="shared" si="1"/>
        <v>78000</v>
      </c>
      <c r="G5" s="61">
        <f t="shared" si="1"/>
        <v>78000</v>
      </c>
      <c r="H5" s="61">
        <f t="shared" si="1"/>
        <v>78317.781655124578</v>
      </c>
      <c r="I5" s="61">
        <f t="shared" si="1"/>
        <v>78636.857992048303</v>
      </c>
      <c r="J5" s="61">
        <f t="shared" si="1"/>
        <v>78957.234285465078</v>
      </c>
      <c r="K5" s="61">
        <f t="shared" si="1"/>
        <v>79278.915831558581</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12364</v>
      </c>
      <c r="C8" s="61">
        <v>12440.999999999998</v>
      </c>
      <c r="D8" s="61">
        <v>12440</v>
      </c>
      <c r="E8" s="61">
        <v>12448</v>
      </c>
      <c r="F8" s="61">
        <v>12468</v>
      </c>
      <c r="G8" s="61">
        <v>12456.999999999998</v>
      </c>
      <c r="H8" s="65">
        <f>AVERAGE(E8:G8)</f>
        <v>12457.666666666666</v>
      </c>
      <c r="I8" s="65">
        <f t="shared" ref="I8:K8" si="2">H8</f>
        <v>12457.666666666666</v>
      </c>
      <c r="J8" s="65">
        <f t="shared" si="2"/>
        <v>12457.666666666666</v>
      </c>
      <c r="K8" s="65">
        <f t="shared" si="2"/>
        <v>12457.666666666666</v>
      </c>
      <c r="L8" s="84" t="s">
        <v>244</v>
      </c>
      <c r="N8" s="64">
        <v>4.0741237836483535E-3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 t="shared" ref="B10:K10" si="3">B5*B9</f>
        <v>22800</v>
      </c>
      <c r="C10" s="61">
        <f t="shared" si="3"/>
        <v>23870</v>
      </c>
      <c r="D10" s="61">
        <f t="shared" si="3"/>
        <v>25410</v>
      </c>
      <c r="E10" s="61">
        <f t="shared" si="3"/>
        <v>27300</v>
      </c>
      <c r="F10" s="61">
        <f t="shared" si="3"/>
        <v>28860</v>
      </c>
      <c r="G10" s="61">
        <f t="shared" si="3"/>
        <v>29640</v>
      </c>
      <c r="H10" s="61">
        <f t="shared" si="3"/>
        <v>31327.112662049833</v>
      </c>
      <c r="I10" s="61">
        <f t="shared" si="3"/>
        <v>33027.480356660286</v>
      </c>
      <c r="J10" s="61">
        <f t="shared" si="3"/>
        <v>33951.610742749981</v>
      </c>
      <c r="K10" s="61">
        <f t="shared" si="3"/>
        <v>35675.512124201363</v>
      </c>
      <c r="L10" s="84" t="s">
        <v>376</v>
      </c>
      <c r="N10" s="122"/>
      <c r="O10" s="60"/>
    </row>
    <row r="11" spans="1:15" s="58" customFormat="1" ht="28.8" x14ac:dyDescent="0.3">
      <c r="A11" s="99" t="s">
        <v>172</v>
      </c>
      <c r="B11" s="61">
        <f t="shared" ref="B11:K11" si="4">MAX(B3-SUM(B6:B8,B10), B3*$N$6)</f>
        <v>48198.621808560798</v>
      </c>
      <c r="C11" s="61">
        <f t="shared" si="4"/>
        <v>47597.877148411542</v>
      </c>
      <c r="D11" s="61">
        <f t="shared" si="4"/>
        <v>46523.658303771255</v>
      </c>
      <c r="E11" s="61">
        <f t="shared" si="4"/>
        <v>45211.64</v>
      </c>
      <c r="F11" s="61">
        <f t="shared" si="4"/>
        <v>44128.479999999996</v>
      </c>
      <c r="G11" s="61">
        <f t="shared" si="4"/>
        <v>43856.320000000007</v>
      </c>
      <c r="H11" s="61">
        <f t="shared" si="4"/>
        <v>42019.860948918373</v>
      </c>
      <c r="I11" s="61">
        <f t="shared" si="4"/>
        <v>40669.071980010427</v>
      </c>
      <c r="J11" s="61">
        <f t="shared" si="4"/>
        <v>40095.944546623876</v>
      </c>
      <c r="K11" s="61">
        <f t="shared" si="4"/>
        <v>38724.476147353373</v>
      </c>
      <c r="L11" s="84" t="s">
        <v>203</v>
      </c>
    </row>
    <row r="12" spans="1:15" s="58" customFormat="1" ht="43.8" x14ac:dyDescent="0.35">
      <c r="A12" s="99" t="s">
        <v>194</v>
      </c>
      <c r="B12" s="61">
        <f t="shared" ref="B12:K12" si="5">B6*$N$3+B11*$N$2</f>
        <v>20985.679935447373</v>
      </c>
      <c r="C12" s="61">
        <f t="shared" si="5"/>
        <v>20724.115710418388</v>
      </c>
      <c r="D12" s="61">
        <f t="shared" si="5"/>
        <v>20256.400825462006</v>
      </c>
      <c r="E12" s="61">
        <f t="shared" si="5"/>
        <v>19685.148056000002</v>
      </c>
      <c r="F12" s="61">
        <f t="shared" si="5"/>
        <v>19213.540192</v>
      </c>
      <c r="G12" s="61">
        <f t="shared" si="5"/>
        <v>19095.041728000004</v>
      </c>
      <c r="H12" s="61">
        <f t="shared" si="5"/>
        <v>18295.447457159058</v>
      </c>
      <c r="I12" s="61">
        <f t="shared" si="5"/>
        <v>17707.313940096541</v>
      </c>
      <c r="J12" s="61">
        <f t="shared" si="5"/>
        <v>17457.774255600038</v>
      </c>
      <c r="K12" s="61">
        <f t="shared" si="5"/>
        <v>16860.636914557657</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6">B12/B3</f>
        <v>0.25173968236795885</v>
      </c>
      <c r="C14" s="80">
        <f t="shared" si="6"/>
        <v>0.24698358999326342</v>
      </c>
      <c r="D14" s="80">
        <f t="shared" si="6"/>
        <v>0.24007967928251611</v>
      </c>
      <c r="E14" s="80">
        <f t="shared" si="6"/>
        <v>0.23169999373820324</v>
      </c>
      <c r="F14" s="80">
        <f t="shared" si="6"/>
        <v>0.2248342102553253</v>
      </c>
      <c r="G14" s="80">
        <f t="shared" si="6"/>
        <v>0.2221559531150164</v>
      </c>
      <c r="H14" s="80">
        <f t="shared" si="6"/>
        <v>0.21322212176359184</v>
      </c>
      <c r="I14" s="80">
        <f t="shared" si="6"/>
        <v>0.20553043304136515</v>
      </c>
      <c r="J14" s="80">
        <f t="shared" si="6"/>
        <v>0.20181179656959414</v>
      </c>
      <c r="K14" s="80">
        <f t="shared" si="6"/>
        <v>0.19411803054722118</v>
      </c>
      <c r="L14" s="84" t="s">
        <v>206</v>
      </c>
    </row>
    <row r="15" spans="1:15"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5" ht="29.4" thickBot="1" x14ac:dyDescent="0.35">
      <c r="A16" s="179" t="s">
        <v>197</v>
      </c>
      <c r="B16" s="81">
        <f t="shared" ref="B16:K16" si="8">B12-B15</f>
        <v>20985.679935447373</v>
      </c>
      <c r="C16" s="81">
        <f t="shared" si="8"/>
        <v>20724.115710418388</v>
      </c>
      <c r="D16" s="81">
        <f t="shared" si="8"/>
        <v>20256.400825462006</v>
      </c>
      <c r="E16" s="81">
        <f t="shared" si="8"/>
        <v>19685.148056000002</v>
      </c>
      <c r="F16" s="81">
        <f t="shared" si="8"/>
        <v>19213.540192</v>
      </c>
      <c r="G16" s="81">
        <f t="shared" si="8"/>
        <v>19095.041728000004</v>
      </c>
      <c r="H16" s="81">
        <f t="shared" si="8"/>
        <v>18295.447457159058</v>
      </c>
      <c r="I16" s="81">
        <f t="shared" si="8"/>
        <v>17707.313940096541</v>
      </c>
      <c r="J16" s="81">
        <f t="shared" si="8"/>
        <v>17457.774255600038</v>
      </c>
      <c r="K16" s="81">
        <f t="shared" si="8"/>
        <v>16860.636914557657</v>
      </c>
      <c r="L16" s="88" t="s">
        <v>265</v>
      </c>
      <c r="M16" s="58"/>
      <c r="N16" s="58"/>
      <c r="O16" s="58"/>
    </row>
    <row r="17" spans="1:15" x14ac:dyDescent="0.3">
      <c r="A17" s="82"/>
      <c r="B17" s="82"/>
      <c r="C17" s="82"/>
      <c r="D17" s="82"/>
      <c r="E17" s="82"/>
      <c r="F17" s="82"/>
      <c r="G17" s="82"/>
      <c r="H17" s="82"/>
      <c r="I17" s="82"/>
      <c r="J17" s="82"/>
      <c r="K17" s="82"/>
      <c r="L17" s="58"/>
      <c r="M17" s="58"/>
      <c r="N17" s="58"/>
      <c r="O17" s="58"/>
    </row>
    <row r="18" spans="1:15" ht="15.6" x14ac:dyDescent="0.3">
      <c r="A18" s="82"/>
      <c r="B18" s="82"/>
      <c r="C18" s="82"/>
      <c r="D18" s="82"/>
      <c r="E18" s="82"/>
      <c r="F18" s="82"/>
      <c r="G18" s="82"/>
      <c r="H18" s="82"/>
      <c r="I18" s="82"/>
      <c r="J18" s="82"/>
      <c r="K18" s="82"/>
      <c r="L18" s="58"/>
      <c r="M18" s="58"/>
      <c r="O18" s="3"/>
    </row>
  </sheetData>
  <mergeCells count="3">
    <mergeCell ref="B1:L1"/>
    <mergeCell ref="N1:O1"/>
    <mergeCell ref="B13:J1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15</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38027.728654045517</v>
      </c>
      <c r="C3" s="65">
        <f t="shared" ref="C3:K3" si="0">B3*(1+$N$8)</f>
        <v>38183.880036043163</v>
      </c>
      <c r="D3" s="65">
        <f t="shared" si="0"/>
        <v>38340.672614740237</v>
      </c>
      <c r="E3" s="65">
        <f t="shared" si="0"/>
        <v>38498.109023051045</v>
      </c>
      <c r="F3" s="65">
        <f t="shared" si="0"/>
        <v>38656.1919047013</v>
      </c>
      <c r="G3" s="65">
        <f t="shared" si="0"/>
        <v>38814.923914272505</v>
      </c>
      <c r="H3" s="65">
        <f t="shared" si="0"/>
        <v>38974.307717246556</v>
      </c>
      <c r="I3" s="65">
        <f t="shared" si="0"/>
        <v>39134.345990050475</v>
      </c>
      <c r="J3" s="65">
        <f t="shared" si="0"/>
        <v>39295.041420101363</v>
      </c>
      <c r="K3" s="65">
        <f t="shared" si="0"/>
        <v>39456.396705851534</v>
      </c>
      <c r="L3" s="84" t="s">
        <v>210</v>
      </c>
      <c r="N3" s="62">
        <v>0.91839999999999999</v>
      </c>
      <c r="O3" s="8" t="s">
        <v>199</v>
      </c>
    </row>
    <row r="4" spans="1:18" s="58" customFormat="1" ht="28.8" x14ac:dyDescent="0.3">
      <c r="A4" s="99" t="s">
        <v>167</v>
      </c>
      <c r="B4" s="61">
        <f>B3*(1-$N$5)</f>
        <v>35365.787648262325</v>
      </c>
      <c r="C4" s="61">
        <f t="shared" ref="C4:K4" si="1">C3*(1-$N$5)</f>
        <v>35511.008433520139</v>
      </c>
      <c r="D4" s="61">
        <f t="shared" si="1"/>
        <v>35656.825531708419</v>
      </c>
      <c r="E4" s="61">
        <f t="shared" si="1"/>
        <v>35803.24139143747</v>
      </c>
      <c r="F4" s="61">
        <f t="shared" si="1"/>
        <v>35950.25847137221</v>
      </c>
      <c r="G4" s="61">
        <f t="shared" si="1"/>
        <v>36097.879240273425</v>
      </c>
      <c r="H4" s="61">
        <f t="shared" si="1"/>
        <v>36246.106177039292</v>
      </c>
      <c r="I4" s="61">
        <f t="shared" si="1"/>
        <v>36394.94177074694</v>
      </c>
      <c r="J4" s="61">
        <f t="shared" si="1"/>
        <v>36544.388520694265</v>
      </c>
      <c r="K4" s="61">
        <f t="shared" si="1"/>
        <v>36694.448936441921</v>
      </c>
      <c r="L4" s="84" t="s">
        <v>229</v>
      </c>
      <c r="N4" s="68">
        <f>0.15</f>
        <v>0.15</v>
      </c>
      <c r="O4" s="84" t="s">
        <v>165</v>
      </c>
    </row>
    <row r="5" spans="1:18" s="58" customFormat="1" ht="28.8" x14ac:dyDescent="0.3">
      <c r="A5" s="99" t="s">
        <v>191</v>
      </c>
      <c r="B5" s="61">
        <f>IF(0&lt;(B3-B4)/B3,B4,B3*(1-$N$5))</f>
        <v>35365.787648262325</v>
      </c>
      <c r="C5" s="61">
        <f t="shared" ref="C5:K5" si="2">IF(0&lt;(C3-C4)/C3,C4,C3*(1-$N$5))</f>
        <v>35511.008433520139</v>
      </c>
      <c r="D5" s="61">
        <f t="shared" si="2"/>
        <v>35656.825531708419</v>
      </c>
      <c r="E5" s="61">
        <f t="shared" si="2"/>
        <v>35803.24139143747</v>
      </c>
      <c r="F5" s="61">
        <f t="shared" si="2"/>
        <v>35950.25847137221</v>
      </c>
      <c r="G5" s="61">
        <f t="shared" si="2"/>
        <v>36097.879240273425</v>
      </c>
      <c r="H5" s="61">
        <f t="shared" si="2"/>
        <v>36246.106177039292</v>
      </c>
      <c r="I5" s="61">
        <f t="shared" si="2"/>
        <v>36394.94177074694</v>
      </c>
      <c r="J5" s="61">
        <f t="shared" si="2"/>
        <v>36544.388520694265</v>
      </c>
      <c r="K5" s="61">
        <f t="shared" si="2"/>
        <v>36694.448936441921</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10609.736294478696</v>
      </c>
      <c r="C10" s="61">
        <f t="shared" ref="C10:K10" si="3">C5*C9</f>
        <v>11008.412614391244</v>
      </c>
      <c r="D10" s="61">
        <f t="shared" si="3"/>
        <v>11766.752425463779</v>
      </c>
      <c r="E10" s="61">
        <f t="shared" si="3"/>
        <v>12531.134487003113</v>
      </c>
      <c r="F10" s="61">
        <f t="shared" si="3"/>
        <v>13301.595634407717</v>
      </c>
      <c r="G10" s="61">
        <f t="shared" si="3"/>
        <v>13717.194111303901</v>
      </c>
      <c r="H10" s="61">
        <f t="shared" si="3"/>
        <v>14498.442470815717</v>
      </c>
      <c r="I10" s="61">
        <f t="shared" si="3"/>
        <v>15285.875543713715</v>
      </c>
      <c r="J10" s="61">
        <f t="shared" si="3"/>
        <v>15714.087063898534</v>
      </c>
      <c r="K10" s="61">
        <f t="shared" si="3"/>
        <v>16512.502021398865</v>
      </c>
      <c r="L10" s="84" t="s">
        <v>376</v>
      </c>
      <c r="N10" s="122"/>
      <c r="O10" s="60"/>
    </row>
    <row r="11" spans="1:18" s="58" customFormat="1" ht="28.8" x14ac:dyDescent="0.3">
      <c r="A11" s="99" t="s">
        <v>172</v>
      </c>
      <c r="B11" s="61">
        <f t="shared" ref="B11:K11" si="4">MAX(B3-SUM(B6:B8,B10), B3*$N$6)</f>
        <v>27417.992359566822</v>
      </c>
      <c r="C11" s="61">
        <f t="shared" si="4"/>
        <v>27175.46742165192</v>
      </c>
      <c r="D11" s="61">
        <f t="shared" si="4"/>
        <v>26573.920189276458</v>
      </c>
      <c r="E11" s="61">
        <f t="shared" si="4"/>
        <v>25966.974536047932</v>
      </c>
      <c r="F11" s="61">
        <f t="shared" si="4"/>
        <v>25354.596270293583</v>
      </c>
      <c r="G11" s="61">
        <f t="shared" si="4"/>
        <v>25097.729802968606</v>
      </c>
      <c r="H11" s="61">
        <f t="shared" si="4"/>
        <v>24475.86524643084</v>
      </c>
      <c r="I11" s="61">
        <f t="shared" si="4"/>
        <v>23848.47044633676</v>
      </c>
      <c r="J11" s="61">
        <f t="shared" si="4"/>
        <v>23580.954356202827</v>
      </c>
      <c r="K11" s="61">
        <f t="shared" si="4"/>
        <v>22943.894684452669</v>
      </c>
      <c r="L11" s="84" t="s">
        <v>203</v>
      </c>
    </row>
    <row r="12" spans="1:18" s="58" customFormat="1" ht="43.8" x14ac:dyDescent="0.35">
      <c r="A12" s="99" t="s">
        <v>194</v>
      </c>
      <c r="B12" s="61">
        <f t="shared" ref="B12:K12" si="5">B6*$N$3+B11*$N$2</f>
        <v>11937.793873355395</v>
      </c>
      <c r="C12" s="61">
        <f t="shared" si="5"/>
        <v>11832.198515387247</v>
      </c>
      <c r="D12" s="61">
        <f t="shared" si="5"/>
        <v>11570.28485041097</v>
      </c>
      <c r="E12" s="61">
        <f t="shared" si="5"/>
        <v>11306.020712995271</v>
      </c>
      <c r="F12" s="61">
        <f t="shared" si="5"/>
        <v>11039.391216085827</v>
      </c>
      <c r="G12" s="61">
        <f t="shared" si="5"/>
        <v>10927.551556212531</v>
      </c>
      <c r="H12" s="61">
        <f t="shared" si="5"/>
        <v>10656.791728295988</v>
      </c>
      <c r="I12" s="61">
        <f t="shared" si="5"/>
        <v>10383.624032335025</v>
      </c>
      <c r="J12" s="61">
        <f t="shared" si="5"/>
        <v>10267.147526690711</v>
      </c>
      <c r="K12" s="61">
        <f t="shared" si="5"/>
        <v>9989.771745610693</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0.31392340000000007</v>
      </c>
      <c r="C14" s="80">
        <f t="shared" si="6"/>
        <v>0.30987418</v>
      </c>
      <c r="D14" s="80">
        <f t="shared" si="6"/>
        <v>0.30177574000000001</v>
      </c>
      <c r="E14" s="80">
        <f t="shared" si="6"/>
        <v>0.29367730000000003</v>
      </c>
      <c r="F14" s="80">
        <f t="shared" si="6"/>
        <v>0.28557886000000005</v>
      </c>
      <c r="G14" s="80">
        <f t="shared" si="6"/>
        <v>0.28152964000000003</v>
      </c>
      <c r="H14" s="80">
        <f t="shared" si="6"/>
        <v>0.27343120000000004</v>
      </c>
      <c r="I14" s="80">
        <f t="shared" si="6"/>
        <v>0.26533276</v>
      </c>
      <c r="J14" s="80">
        <f t="shared" si="6"/>
        <v>0.26128353999999998</v>
      </c>
      <c r="K14" s="80">
        <f t="shared" si="6"/>
        <v>0.25318510000000005</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11937.793873355395</v>
      </c>
      <c r="C16" s="81">
        <f t="shared" si="8"/>
        <v>11832.198515387247</v>
      </c>
      <c r="D16" s="81">
        <f t="shared" si="8"/>
        <v>11570.28485041097</v>
      </c>
      <c r="E16" s="81">
        <f t="shared" si="8"/>
        <v>11306.020712995271</v>
      </c>
      <c r="F16" s="81">
        <f t="shared" si="8"/>
        <v>11039.391216085827</v>
      </c>
      <c r="G16" s="81">
        <f t="shared" si="8"/>
        <v>10927.551556212531</v>
      </c>
      <c r="H16" s="81">
        <f t="shared" si="8"/>
        <v>10656.791728295988</v>
      </c>
      <c r="I16" s="81">
        <f t="shared" si="8"/>
        <v>10383.624032335025</v>
      </c>
      <c r="J16" s="81">
        <f t="shared" si="8"/>
        <v>10267.147526690711</v>
      </c>
      <c r="K16" s="81">
        <f t="shared" si="8"/>
        <v>9989.771745610693</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12" max="12" width="49.33203125" customWidth="1"/>
    <col min="15" max="15" width="39.88671875" bestFit="1" customWidth="1"/>
  </cols>
  <sheetData>
    <row r="1" spans="1:15" s="58" customFormat="1" x14ac:dyDescent="0.3">
      <c r="A1" s="97" t="s">
        <v>48</v>
      </c>
      <c r="B1" s="199" t="s">
        <v>173</v>
      </c>
      <c r="C1" s="200"/>
      <c r="D1" s="200"/>
      <c r="E1" s="200"/>
      <c r="F1" s="200"/>
      <c r="G1" s="200"/>
      <c r="H1" s="200"/>
      <c r="I1" s="200"/>
      <c r="J1" s="200"/>
      <c r="K1" s="200"/>
      <c r="L1" s="201"/>
      <c r="N1" s="202" t="s">
        <v>193</v>
      </c>
      <c r="O1" s="203"/>
    </row>
    <row r="2" spans="1:15" s="58" customFormat="1" ht="15.6" x14ac:dyDescent="0.35">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369</v>
      </c>
    </row>
    <row r="3" spans="1:15" s="58" customFormat="1" ht="72.599999999999994" x14ac:dyDescent="0.35">
      <c r="A3" s="99" t="s">
        <v>166</v>
      </c>
      <c r="B3" s="61">
        <v>452724.69194601459</v>
      </c>
      <c r="C3" s="61">
        <v>454837.81155685167</v>
      </c>
      <c r="D3" s="61">
        <v>457545.7277156217</v>
      </c>
      <c r="E3" s="61">
        <v>460769.41599999997</v>
      </c>
      <c r="F3" s="61">
        <v>464247.29600000003</v>
      </c>
      <c r="G3" s="61">
        <v>467923.91199999995</v>
      </c>
      <c r="H3" s="65">
        <f>AVERAGE(E3:G3)*(1+$N$8)</f>
        <v>466205.21217514947</v>
      </c>
      <c r="I3" s="65">
        <f>H3*(1+$N$8)</f>
        <v>468104.58991813305</v>
      </c>
      <c r="J3" s="65">
        <f t="shared" ref="I3:K4" si="0">I3*(1+$N$8)</f>
        <v>470011.70596115349</v>
      </c>
      <c r="K3" s="65">
        <f t="shared" si="0"/>
        <v>471926.59183100297</v>
      </c>
      <c r="L3" s="84" t="s">
        <v>254</v>
      </c>
      <c r="N3" s="62">
        <v>0.91839999999999999</v>
      </c>
      <c r="O3" s="8" t="s">
        <v>199</v>
      </c>
    </row>
    <row r="4" spans="1:15" s="58" customFormat="1" ht="57.6" x14ac:dyDescent="0.3">
      <c r="A4" s="99" t="s">
        <v>167</v>
      </c>
      <c r="B4" s="61">
        <f>SUMIFS('Form 1.1c'!J:J, 'Form 1.1c'!$B:$B, "City of Lodi")*1000</f>
        <v>460000</v>
      </c>
      <c r="C4" s="61">
        <f>SUMIFS('Form 1.1c'!K:K, 'Form 1.1c'!$B:$B, "City of Lodi")*1000</f>
        <v>463000</v>
      </c>
      <c r="D4" s="61">
        <f>SUMIFS('Form 1.1c'!L:L, 'Form 1.1c'!$B:$B, "City of Lodi")*1000</f>
        <v>466000</v>
      </c>
      <c r="E4" s="61">
        <f>SUMIFS('Form 1.1c'!M:M, 'Form 1.1c'!$B:$B, "City of Lodi")*1000</f>
        <v>468000</v>
      </c>
      <c r="F4" s="61">
        <f>SUMIFS('Form 1.1c'!N:N, 'Form 1.1c'!$B:$B, "City of Lodi")*1000</f>
        <v>470000</v>
      </c>
      <c r="G4" s="61">
        <f>SUMIFS('Form 1.1c'!O:O, 'Form 1.1c'!$B:$B, "City of Lodi")*1000</f>
        <v>472000</v>
      </c>
      <c r="H4" s="65">
        <f>AVERAGE(E4:G4)*(1+$N$8)</f>
        <v>471914.83817831473</v>
      </c>
      <c r="I4" s="61">
        <f t="shared" si="0"/>
        <v>473837.47764439357</v>
      </c>
      <c r="J4" s="61">
        <f t="shared" si="0"/>
        <v>475767.95018164854</v>
      </c>
      <c r="K4" s="61">
        <f t="shared" si="0"/>
        <v>477706.28770298121</v>
      </c>
      <c r="L4" s="84" t="s">
        <v>211</v>
      </c>
      <c r="N4" s="68">
        <f>0.15</f>
        <v>0.15</v>
      </c>
      <c r="O4" s="59" t="s">
        <v>165</v>
      </c>
    </row>
    <row r="5" spans="1:15" s="58" customFormat="1" ht="28.8" x14ac:dyDescent="0.3">
      <c r="A5" s="99" t="s">
        <v>191</v>
      </c>
      <c r="B5" s="61">
        <f>IF(0&lt;(B3-B4)/B3,B4,B3*(1-$N$5))</f>
        <v>421033.96350979351</v>
      </c>
      <c r="C5" s="61">
        <f t="shared" ref="C5:K5" si="1">IF(0&lt;(C3-C4)/C3,C4,C3*(1-$N$5))</f>
        <v>422999.16474787204</v>
      </c>
      <c r="D5" s="61">
        <f t="shared" si="1"/>
        <v>425517.52677552815</v>
      </c>
      <c r="E5" s="61">
        <f t="shared" si="1"/>
        <v>428515.55687999993</v>
      </c>
      <c r="F5" s="61">
        <f t="shared" si="1"/>
        <v>431749.98528000002</v>
      </c>
      <c r="G5" s="61">
        <f t="shared" si="1"/>
        <v>435169.23815999995</v>
      </c>
      <c r="H5" s="61">
        <f t="shared" si="1"/>
        <v>433570.84732288896</v>
      </c>
      <c r="I5" s="61">
        <f t="shared" si="1"/>
        <v>435337.2686238637</v>
      </c>
      <c r="J5" s="61">
        <f t="shared" si="1"/>
        <v>437110.88654387271</v>
      </c>
      <c r="K5" s="61">
        <f t="shared" si="1"/>
        <v>438891.73040283273</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59607</v>
      </c>
      <c r="C8" s="61">
        <v>60084</v>
      </c>
      <c r="D8" s="61">
        <v>60080</v>
      </c>
      <c r="E8" s="61">
        <v>60128</v>
      </c>
      <c r="F8" s="61">
        <v>60256</v>
      </c>
      <c r="G8" s="61">
        <v>60184</v>
      </c>
      <c r="H8" s="65">
        <f>AVERAGE(E8:G8)</f>
        <v>60189.333333333336</v>
      </c>
      <c r="I8" s="65">
        <f t="shared" ref="I8:K8" si="2">H8</f>
        <v>60189.333333333336</v>
      </c>
      <c r="J8" s="65">
        <f t="shared" si="2"/>
        <v>60189.333333333336</v>
      </c>
      <c r="K8" s="65">
        <f t="shared" si="2"/>
        <v>60189.333333333336</v>
      </c>
      <c r="L8" s="84" t="s">
        <v>244</v>
      </c>
      <c r="N8" s="64">
        <v>4.0741237836483535E-3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 t="shared" ref="B10:K10" si="3">B5*B9</f>
        <v>126310.18905293805</v>
      </c>
      <c r="C10" s="61">
        <f t="shared" si="3"/>
        <v>131129.74107184034</v>
      </c>
      <c r="D10" s="61">
        <f t="shared" si="3"/>
        <v>140420.78383592429</v>
      </c>
      <c r="E10" s="61">
        <f t="shared" si="3"/>
        <v>149980.44490799998</v>
      </c>
      <c r="F10" s="61">
        <f t="shared" si="3"/>
        <v>159747.4945536</v>
      </c>
      <c r="G10" s="61">
        <f t="shared" si="3"/>
        <v>165364.31050079997</v>
      </c>
      <c r="H10" s="61">
        <f t="shared" si="3"/>
        <v>173428.33892915561</v>
      </c>
      <c r="I10" s="61">
        <f t="shared" si="3"/>
        <v>182841.65282202273</v>
      </c>
      <c r="J10" s="61">
        <f t="shared" si="3"/>
        <v>187957.68121386526</v>
      </c>
      <c r="K10" s="61">
        <f t="shared" si="3"/>
        <v>197501.27868127474</v>
      </c>
      <c r="L10" s="84" t="s">
        <v>376</v>
      </c>
      <c r="N10" s="122"/>
      <c r="O10" s="60"/>
    </row>
    <row r="11" spans="1:15" s="58" customFormat="1" ht="28.8" x14ac:dyDescent="0.3">
      <c r="A11" s="99" t="s">
        <v>172</v>
      </c>
      <c r="B11" s="61">
        <f t="shared" ref="B11:K11" si="4">MAX(B3-SUM(B6:B8,B10), B3*$N$6)</f>
        <v>266807.50289307651</v>
      </c>
      <c r="C11" s="61">
        <f t="shared" si="4"/>
        <v>263624.07048501133</v>
      </c>
      <c r="D11" s="61">
        <f t="shared" si="4"/>
        <v>257044.94387969741</v>
      </c>
      <c r="E11" s="61">
        <f t="shared" si="4"/>
        <v>250660.97109199999</v>
      </c>
      <c r="F11" s="61">
        <f t="shared" si="4"/>
        <v>244243.80144640003</v>
      </c>
      <c r="G11" s="61">
        <f t="shared" si="4"/>
        <v>242375.60149919998</v>
      </c>
      <c r="H11" s="61">
        <f t="shared" si="4"/>
        <v>232587.53991266052</v>
      </c>
      <c r="I11" s="61">
        <f t="shared" si="4"/>
        <v>225073.60376277697</v>
      </c>
      <c r="J11" s="61">
        <f t="shared" si="4"/>
        <v>221864.69141395489</v>
      </c>
      <c r="K11" s="61">
        <f t="shared" si="4"/>
        <v>214235.97981639489</v>
      </c>
      <c r="L11" s="84" t="s">
        <v>203</v>
      </c>
    </row>
    <row r="12" spans="1:15" s="58" customFormat="1" ht="43.8" x14ac:dyDescent="0.35">
      <c r="A12" s="99" t="s">
        <v>194</v>
      </c>
      <c r="B12" s="61">
        <f t="shared" ref="B12:K12" si="5">B6*$N$3+B11*$N$2</f>
        <v>116167.98675964552</v>
      </c>
      <c r="C12" s="61">
        <f t="shared" si="5"/>
        <v>114781.92028917394</v>
      </c>
      <c r="D12" s="61">
        <f t="shared" si="5"/>
        <v>111917.36856522025</v>
      </c>
      <c r="E12" s="61">
        <f t="shared" si="5"/>
        <v>109137.7868134568</v>
      </c>
      <c r="F12" s="61">
        <f t="shared" si="5"/>
        <v>106343.75114976258</v>
      </c>
      <c r="G12" s="61">
        <f t="shared" si="5"/>
        <v>105530.33689275167</v>
      </c>
      <c r="H12" s="61">
        <f t="shared" si="5"/>
        <v>101268.61487797239</v>
      </c>
      <c r="I12" s="61">
        <f t="shared" si="5"/>
        <v>97997.047078313088</v>
      </c>
      <c r="J12" s="61">
        <f t="shared" si="5"/>
        <v>96599.886641635967</v>
      </c>
      <c r="K12" s="61">
        <f t="shared" si="5"/>
        <v>93278.345612058329</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6">B12/B3</f>
        <v>0.25659741742890851</v>
      </c>
      <c r="C14" s="80">
        <f t="shared" si="6"/>
        <v>0.25235791170547167</v>
      </c>
      <c r="D14" s="80">
        <f t="shared" si="6"/>
        <v>0.244603679557861</v>
      </c>
      <c r="E14" s="80">
        <f t="shared" si="6"/>
        <v>0.23685987616299778</v>
      </c>
      <c r="F14" s="80">
        <f t="shared" si="6"/>
        <v>0.22906703402697379</v>
      </c>
      <c r="G14" s="80">
        <f t="shared" si="6"/>
        <v>0.22552883959636516</v>
      </c>
      <c r="H14" s="80">
        <f t="shared" si="6"/>
        <v>0.21721896759902934</v>
      </c>
      <c r="I14" s="80">
        <f t="shared" si="6"/>
        <v>0.20934861393999965</v>
      </c>
      <c r="J14" s="80">
        <f t="shared" si="6"/>
        <v>0.20552655479950951</v>
      </c>
      <c r="K14" s="80">
        <f t="shared" si="6"/>
        <v>0.19765435393278566</v>
      </c>
      <c r="L14" s="84" t="s">
        <v>206</v>
      </c>
    </row>
    <row r="15" spans="1:15"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5" ht="29.4" thickBot="1" x14ac:dyDescent="0.35">
      <c r="A16" s="179" t="s">
        <v>197</v>
      </c>
      <c r="B16" s="81">
        <f t="shared" ref="B16:K16" si="8">B12-B15</f>
        <v>116167.98675964552</v>
      </c>
      <c r="C16" s="81">
        <f t="shared" si="8"/>
        <v>114781.92028917394</v>
      </c>
      <c r="D16" s="81">
        <f t="shared" si="8"/>
        <v>111917.36856522025</v>
      </c>
      <c r="E16" s="81">
        <f t="shared" si="8"/>
        <v>109137.7868134568</v>
      </c>
      <c r="F16" s="81">
        <f t="shared" si="8"/>
        <v>106343.75114976258</v>
      </c>
      <c r="G16" s="81">
        <f t="shared" si="8"/>
        <v>105530.33689275167</v>
      </c>
      <c r="H16" s="81">
        <f t="shared" si="8"/>
        <v>101268.61487797239</v>
      </c>
      <c r="I16" s="81">
        <f t="shared" si="8"/>
        <v>97997.047078313088</v>
      </c>
      <c r="J16" s="81">
        <f t="shared" si="8"/>
        <v>96599.886641635967</v>
      </c>
      <c r="K16" s="81">
        <f t="shared" si="8"/>
        <v>93278.345612058329</v>
      </c>
      <c r="L16" s="88" t="s">
        <v>265</v>
      </c>
      <c r="M16" s="58"/>
      <c r="O16" s="3"/>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workbookViewId="0">
      <pane ySplit="2" topLeftCell="A44" activePane="bottomLeft" state="frozen"/>
      <selection pane="bottomLeft" sqref="A1:A2"/>
    </sheetView>
  </sheetViews>
  <sheetFormatPr defaultColWidth="8.88671875" defaultRowHeight="13.8" x14ac:dyDescent="0.25"/>
  <cols>
    <col min="1" max="1" width="13.44140625" style="92" customWidth="1"/>
    <col min="2" max="11" width="10.6640625" style="93" customWidth="1"/>
    <col min="12" max="12" width="4.5546875" style="89" customWidth="1"/>
    <col min="13" max="16384" width="8.88671875" style="89"/>
  </cols>
  <sheetData>
    <row r="1" spans="1:11" ht="15" x14ac:dyDescent="0.25">
      <c r="A1" s="197" t="s">
        <v>177</v>
      </c>
      <c r="B1" s="196" t="s">
        <v>192</v>
      </c>
      <c r="C1" s="196"/>
      <c r="D1" s="196"/>
      <c r="E1" s="196"/>
      <c r="F1" s="196"/>
      <c r="G1" s="196"/>
      <c r="H1" s="196"/>
      <c r="I1" s="196"/>
      <c r="J1" s="196"/>
      <c r="K1" s="196"/>
    </row>
    <row r="2" spans="1:11" s="90" customFormat="1" ht="15" x14ac:dyDescent="0.25">
      <c r="A2" s="198"/>
      <c r="B2" s="91">
        <v>2021</v>
      </c>
      <c r="C2" s="91">
        <v>2022</v>
      </c>
      <c r="D2" s="91">
        <v>2023</v>
      </c>
      <c r="E2" s="91">
        <v>2024</v>
      </c>
      <c r="F2" s="91">
        <v>2025</v>
      </c>
      <c r="G2" s="91">
        <v>2026</v>
      </c>
      <c r="H2" s="91">
        <v>2027</v>
      </c>
      <c r="I2" s="91">
        <v>2028</v>
      </c>
      <c r="J2" s="91">
        <v>2029</v>
      </c>
      <c r="K2" s="91">
        <v>2030</v>
      </c>
    </row>
    <row r="3" spans="1:11" ht="39.6" x14ac:dyDescent="0.25">
      <c r="A3" s="94" t="s">
        <v>13</v>
      </c>
      <c r="B3" s="95">
        <f>ROUND(Alameda!B$16,0)</f>
        <v>79765</v>
      </c>
      <c r="C3" s="95">
        <f>ROUND(Alameda!C$16,0)</f>
        <v>77930</v>
      </c>
      <c r="D3" s="95">
        <f>ROUND(Alameda!D$16,0)</f>
        <v>74823</v>
      </c>
      <c r="E3" s="95">
        <f>ROUND(Alameda!E$16,0)</f>
        <v>71708</v>
      </c>
      <c r="F3" s="95">
        <f>ROUND(Alameda!F$16,0)</f>
        <v>68615</v>
      </c>
      <c r="G3" s="95">
        <f>ROUND(Alameda!G$16,0)</f>
        <v>66991</v>
      </c>
      <c r="H3" s="95">
        <f>ROUND(Alameda!H$16,0)</f>
        <v>64813</v>
      </c>
      <c r="I3" s="95">
        <f>ROUND(Alameda!I$16,0)</f>
        <v>62374</v>
      </c>
      <c r="J3" s="95">
        <f>ROUND(Alameda!J$16,0)</f>
        <v>61334</v>
      </c>
      <c r="K3" s="95">
        <f>ROUND(Alameda!K$16,0)</f>
        <v>58857</v>
      </c>
    </row>
    <row r="4" spans="1:11" ht="39.6" x14ac:dyDescent="0.25">
      <c r="A4" s="94" t="s">
        <v>31</v>
      </c>
      <c r="B4" s="95">
        <f>ROUND(Anza!B$16,0)</f>
        <v>18910</v>
      </c>
      <c r="C4" s="95">
        <f>ROUND(Anza!C$16,0)</f>
        <v>18751</v>
      </c>
      <c r="D4" s="95">
        <f>ROUND(Anza!D$16,0)</f>
        <v>18353</v>
      </c>
      <c r="E4" s="95">
        <f>ROUND(Anza!E$16,0)</f>
        <v>17950</v>
      </c>
      <c r="F4" s="95">
        <f>ROUND(Anza!F$16,0)</f>
        <v>17545</v>
      </c>
      <c r="G4" s="95">
        <f>ROUND(Anza!G$16,0)</f>
        <v>17376</v>
      </c>
      <c r="H4" s="95">
        <f>ROUND(Anza!H$16,0)</f>
        <v>16964</v>
      </c>
      <c r="I4" s="95">
        <f>ROUND(Anza!I$16,0)</f>
        <v>16548</v>
      </c>
      <c r="J4" s="95">
        <f>ROUND(Anza!J$16,0)</f>
        <v>16372</v>
      </c>
      <c r="K4" s="95">
        <f>ROUND(Anza!K$16,0)</f>
        <v>15950</v>
      </c>
    </row>
    <row r="5" spans="1:11" ht="66" x14ac:dyDescent="0.25">
      <c r="A5" s="94" t="s">
        <v>175</v>
      </c>
      <c r="B5" s="95">
        <f>ROUND(CCSF!B$16,0)</f>
        <v>24905</v>
      </c>
      <c r="C5" s="95">
        <f>ROUND(CCSF!C$16,0)</f>
        <v>25101</v>
      </c>
      <c r="D5" s="95">
        <f>ROUND(CCSF!D$16,0)</f>
        <v>25275</v>
      </c>
      <c r="E5" s="95">
        <f>ROUND(CCSF!E$16,0)</f>
        <v>25384</v>
      </c>
      <c r="F5" s="95">
        <f>ROUND(CCSF!F$16,0)</f>
        <v>25358</v>
      </c>
      <c r="G5" s="95">
        <f>ROUND(CCSF!G$16,0)</f>
        <v>25463</v>
      </c>
      <c r="H5" s="95">
        <f>ROUND(CCSF!H$16,0)</f>
        <v>25569</v>
      </c>
      <c r="I5" s="95">
        <f>ROUND(CCSF!I$16,0)</f>
        <v>25675</v>
      </c>
      <c r="J5" s="95">
        <f>ROUND(CCSF!J$16,0)</f>
        <v>25782</v>
      </c>
      <c r="K5" s="95">
        <f>ROUND(CCSF!K$16,0)</f>
        <v>25889</v>
      </c>
    </row>
    <row r="6" spans="1:11" ht="52.8" x14ac:dyDescent="0.25">
      <c r="A6" s="94" t="s">
        <v>176</v>
      </c>
      <c r="B6" s="95">
        <f>ROUND(Anaheim!B$16,0)</f>
        <v>1568268</v>
      </c>
      <c r="C6" s="95">
        <f>ROUND(Anaheim!C$16,0)</f>
        <v>1577179</v>
      </c>
      <c r="D6" s="95">
        <f>ROUND(Anaheim!D$16,0)</f>
        <v>1537495</v>
      </c>
      <c r="E6" s="95">
        <f>ROUND(Anaheim!E$16,0)</f>
        <v>1495687</v>
      </c>
      <c r="F6" s="95">
        <f>ROUND(Anaheim!F$16,0)</f>
        <v>1456438</v>
      </c>
      <c r="G6" s="95">
        <f>ROUND(Anaheim!G$16,0)</f>
        <v>1435129</v>
      </c>
      <c r="H6" s="95">
        <f>ROUND(Anaheim!H$16,0)</f>
        <v>1053081</v>
      </c>
      <c r="I6" s="95">
        <f>ROUND(Anaheim!I$16,0)</f>
        <v>672097</v>
      </c>
      <c r="J6" s="95">
        <f>ROUND(Anaheim!J$16,0)</f>
        <v>664173</v>
      </c>
      <c r="K6" s="95">
        <f>ROUND(Anaheim!K$16,0)</f>
        <v>645389</v>
      </c>
    </row>
    <row r="7" spans="1:11" x14ac:dyDescent="0.25">
      <c r="A7" s="94" t="s">
        <v>178</v>
      </c>
      <c r="B7" s="95">
        <f>ROUND(Azusa!B$16,0)</f>
        <v>73918</v>
      </c>
      <c r="C7" s="95">
        <f>ROUND(Azusa!C$16,0)</f>
        <v>73116</v>
      </c>
      <c r="D7" s="95">
        <f>ROUND(Azusa!D$16,0)</f>
        <v>71144</v>
      </c>
      <c r="E7" s="95">
        <f>ROUND(Azusa!E$16,0)</f>
        <v>69158</v>
      </c>
      <c r="F7" s="95">
        <f>ROUND(Azusa!F$16,0)</f>
        <v>67156</v>
      </c>
      <c r="G7" s="95">
        <f>ROUND(Azusa!G$16,0)</f>
        <v>66479</v>
      </c>
      <c r="H7" s="95">
        <f>ROUND(Azusa!H$16,0)</f>
        <v>64500</v>
      </c>
      <c r="I7" s="95">
        <f>ROUND(Azusa!I$16,0)</f>
        <v>62447</v>
      </c>
      <c r="J7" s="95">
        <f>ROUND(Azusa!J$16,0)</f>
        <v>61560</v>
      </c>
      <c r="K7" s="95">
        <f>ROUND(Azusa!K$16,0)</f>
        <v>59476</v>
      </c>
    </row>
    <row r="8" spans="1:11" ht="26.4" x14ac:dyDescent="0.25">
      <c r="A8" s="94" t="s">
        <v>65</v>
      </c>
      <c r="B8" s="95">
        <f>ROUND(Banning!B$16,0)</f>
        <v>38581</v>
      </c>
      <c r="C8" s="95">
        <f>ROUND(Banning!C$16,0)</f>
        <v>38159</v>
      </c>
      <c r="D8" s="95">
        <f>ROUND(Banning!D$16,0)</f>
        <v>37112</v>
      </c>
      <c r="E8" s="95">
        <f>ROUND(Banning!E$16,0)</f>
        <v>36055</v>
      </c>
      <c r="F8" s="95">
        <f>ROUND(Banning!F$16,0)</f>
        <v>34989</v>
      </c>
      <c r="G8" s="95">
        <f>ROUND(Banning!G$16,0)</f>
        <v>34542</v>
      </c>
      <c r="H8" s="95">
        <f>ROUND(Banning!H$16,0)</f>
        <v>33460</v>
      </c>
      <c r="I8" s="95">
        <f>ROUND(Banning!I$16,0)</f>
        <v>32368</v>
      </c>
      <c r="J8" s="95">
        <f>ROUND(Banning!J$16,0)</f>
        <v>31902</v>
      </c>
      <c r="K8" s="95">
        <f>ROUND(Banning!K$16,0)</f>
        <v>30793</v>
      </c>
    </row>
    <row r="9" spans="1:11" x14ac:dyDescent="0.25">
      <c r="A9" s="94" t="s">
        <v>44</v>
      </c>
      <c r="B9" s="95">
        <f>ROUND(Biggs!B$16,0)</f>
        <v>2795</v>
      </c>
      <c r="C9" s="95">
        <f>ROUND(Biggs!C$16,0)</f>
        <v>2726</v>
      </c>
      <c r="D9" s="95">
        <f>ROUND(Biggs!D$16,0)</f>
        <v>2594</v>
      </c>
      <c r="E9" s="95">
        <f>ROUND(Biggs!E$16,0)</f>
        <v>2463</v>
      </c>
      <c r="F9" s="95">
        <f>ROUND(Biggs!F$16,0)</f>
        <v>2333</v>
      </c>
      <c r="G9" s="95">
        <f>ROUND(Biggs!G$16,0)</f>
        <v>2267</v>
      </c>
      <c r="H9" s="95">
        <f>ROUND(Biggs!H$16,0)</f>
        <v>2155</v>
      </c>
      <c r="I9" s="95">
        <f>ROUND(Biggs!I$16,0)</f>
        <v>2042</v>
      </c>
      <c r="J9" s="95">
        <f>ROUND(Biggs!J$16,0)</f>
        <v>1993</v>
      </c>
      <c r="K9" s="95">
        <f>ROUND(Biggs!K$16,0)</f>
        <v>1878</v>
      </c>
    </row>
    <row r="10" spans="1:11" ht="26.4" x14ac:dyDescent="0.25">
      <c r="A10" s="94" t="s">
        <v>92</v>
      </c>
      <c r="B10" s="95">
        <f>ROUND(Burbank!B$16,0)</f>
        <v>572818</v>
      </c>
      <c r="C10" s="95">
        <f>ROUND(Burbank!C$16,0)</f>
        <v>571290</v>
      </c>
      <c r="D10" s="95">
        <f>ROUND(Burbank!D$16,0)</f>
        <v>562290</v>
      </c>
      <c r="E10" s="95">
        <f>ROUND(Burbank!E$16,0)</f>
        <v>553356</v>
      </c>
      <c r="F10" s="95">
        <f>ROUND(Burbank!F$16,0)</f>
        <v>544626</v>
      </c>
      <c r="G10" s="95">
        <f>ROUND(Burbank!G$16,0)</f>
        <v>540529</v>
      </c>
      <c r="H10" s="95">
        <f>ROUND(Burbank!H$16,0)</f>
        <v>413255</v>
      </c>
      <c r="I10" s="95">
        <f>ROUND(Burbank!I$16,0)</f>
        <v>287032</v>
      </c>
      <c r="J10" s="95">
        <f>ROUND(Burbank!J$16,0)</f>
        <v>282753</v>
      </c>
      <c r="K10" s="95">
        <f>ROUND(Burbank!K$16,0)</f>
        <v>273331</v>
      </c>
    </row>
    <row r="11" spans="1:11" x14ac:dyDescent="0.25">
      <c r="A11" s="94" t="s">
        <v>14</v>
      </c>
      <c r="B11" s="95">
        <f>ROUND(Cerritos!B$16,0)</f>
        <v>26066</v>
      </c>
      <c r="C11" s="95">
        <f>ROUND(Cerritos!C$16,0)</f>
        <v>25852</v>
      </c>
      <c r="D11" s="95">
        <f>ROUND(Cerritos!D$16,0)</f>
        <v>25130</v>
      </c>
      <c r="E11" s="95">
        <f>ROUND(Cerritos!E$16,0)</f>
        <v>24543</v>
      </c>
      <c r="F11" s="95">
        <f>ROUND(Cerritos!F$16,0)</f>
        <v>23957</v>
      </c>
      <c r="G11" s="95">
        <f>ROUND(Cerritos!G$16,0)</f>
        <v>23741</v>
      </c>
      <c r="H11" s="95">
        <f>ROUND(Cerritos!H$16,0)</f>
        <v>23095</v>
      </c>
      <c r="I11" s="95">
        <f>ROUND(Cerritos!I$16,0)</f>
        <v>22444</v>
      </c>
      <c r="J11" s="95">
        <f>ROUND(Cerritos!J$16,0)</f>
        <v>22161</v>
      </c>
      <c r="K11" s="95">
        <f>ROUND(Cerritos!K$16,0)</f>
        <v>21500</v>
      </c>
    </row>
    <row r="12" spans="1:11" x14ac:dyDescent="0.25">
      <c r="A12" s="94" t="s">
        <v>66</v>
      </c>
      <c r="B12" s="95">
        <f>ROUND(Colton!B$16,0)</f>
        <v>109201</v>
      </c>
      <c r="C12" s="95">
        <f>ROUND(Colton!C$16,0)</f>
        <v>108010</v>
      </c>
      <c r="D12" s="95">
        <f>ROUND(Colton!D$16,0)</f>
        <v>105323</v>
      </c>
      <c r="E12" s="95">
        <f>ROUND(Colton!E$16,0)</f>
        <v>102623</v>
      </c>
      <c r="F12" s="95">
        <f>ROUND(Colton!F$16,0)</f>
        <v>99907</v>
      </c>
      <c r="G12" s="95">
        <f>ROUND(Colton!G$16,0)</f>
        <v>98975</v>
      </c>
      <c r="H12" s="95">
        <f>ROUND(Colton!H$16,0)</f>
        <v>96209</v>
      </c>
      <c r="I12" s="95">
        <f>ROUND(Colton!I$16,0)</f>
        <v>93362</v>
      </c>
      <c r="J12" s="95">
        <f>ROUND(Colton!J$16,0)</f>
        <v>92138</v>
      </c>
      <c r="K12" s="95">
        <f>ROUND(Colton!K$16,0)</f>
        <v>89247</v>
      </c>
    </row>
    <row r="13" spans="1:11" ht="39.6" x14ac:dyDescent="0.25">
      <c r="A13" s="94" t="s">
        <v>179</v>
      </c>
      <c r="B13" s="95">
        <f>ROUND(Corona!B$16,0)</f>
        <v>43645</v>
      </c>
      <c r="C13" s="95">
        <f>ROUND(Corona!C$16,0)</f>
        <v>43118</v>
      </c>
      <c r="D13" s="95">
        <f>ROUND(Corona!D$16,0)</f>
        <v>42047</v>
      </c>
      <c r="E13" s="95">
        <f>ROUND(Corona!E$16,0)</f>
        <v>40825</v>
      </c>
      <c r="F13" s="95">
        <f>ROUND(Corona!F$16,0)</f>
        <v>39748</v>
      </c>
      <c r="G13" s="95">
        <f>ROUND(Corona!G$16,0)</f>
        <v>39351</v>
      </c>
      <c r="H13" s="95">
        <f>ROUND(Corona!H$16,0)</f>
        <v>38165</v>
      </c>
      <c r="I13" s="95">
        <f>ROUND(Corona!I$16,0)</f>
        <v>36968</v>
      </c>
      <c r="J13" s="95">
        <f>ROUND(Corona!J$16,0)</f>
        <v>36448</v>
      </c>
      <c r="K13" s="95">
        <f>ROUND(Corona!K$16,0)</f>
        <v>35233</v>
      </c>
    </row>
    <row r="14" spans="1:11" ht="26.4" x14ac:dyDescent="0.25">
      <c r="A14" s="94" t="s">
        <v>93</v>
      </c>
      <c r="B14" s="95">
        <f>ROUND(Glendale!B$16,0)</f>
        <v>438169</v>
      </c>
      <c r="C14" s="95">
        <f>ROUND(Glendale!C$16,0)</f>
        <v>436728</v>
      </c>
      <c r="D14" s="95">
        <f>ROUND(Glendale!D$16,0)</f>
        <v>428337</v>
      </c>
      <c r="E14" s="95">
        <f>ROUND(Glendale!E$16,0)</f>
        <v>419730</v>
      </c>
      <c r="F14" s="95">
        <f>ROUND(Glendale!F$16,0)</f>
        <v>411183</v>
      </c>
      <c r="G14" s="95">
        <f>ROUND(Glendale!G$16,0)</f>
        <v>406742</v>
      </c>
      <c r="H14" s="95">
        <f>ROUND(Glendale!H$16,0)</f>
        <v>335705</v>
      </c>
      <c r="I14" s="95">
        <f>ROUND(Glendale!I$16,0)</f>
        <v>265431</v>
      </c>
      <c r="J14" s="95">
        <f>ROUND(Glendale!J$16,0)</f>
        <v>261223</v>
      </c>
      <c r="K14" s="95">
        <f>ROUND(Glendale!K$16,0)</f>
        <v>251964</v>
      </c>
    </row>
    <row r="15" spans="1:11" ht="26.4" x14ac:dyDescent="0.25">
      <c r="A15" s="94" t="s">
        <v>46</v>
      </c>
      <c r="B15" s="95">
        <f>ROUND(Healdsburg!B$16,0)</f>
        <v>20986</v>
      </c>
      <c r="C15" s="95">
        <f>ROUND(Healdsburg!C$16,0)</f>
        <v>20724</v>
      </c>
      <c r="D15" s="95">
        <f>ROUND(Healdsburg!D$16,0)</f>
        <v>20256</v>
      </c>
      <c r="E15" s="95">
        <f>ROUND(Healdsburg!E$16,0)</f>
        <v>19685</v>
      </c>
      <c r="F15" s="95">
        <f>ROUND(Healdsburg!F$16,0)</f>
        <v>19214</v>
      </c>
      <c r="G15" s="95">
        <f>ROUND(Healdsburg!G$16,0)</f>
        <v>19095</v>
      </c>
      <c r="H15" s="95">
        <f>ROUND(Healdsburg!H$16,0)</f>
        <v>18295</v>
      </c>
      <c r="I15" s="95">
        <f>ROUND(Healdsburg!I$16,0)</f>
        <v>17707</v>
      </c>
      <c r="J15" s="95">
        <f>ROUND(Healdsburg!J$16,0)</f>
        <v>17458</v>
      </c>
      <c r="K15" s="95">
        <f>ROUND(Healdsburg!K$16,0)</f>
        <v>16861</v>
      </c>
    </row>
    <row r="16" spans="1:11" ht="26.4" x14ac:dyDescent="0.25">
      <c r="A16" s="94" t="s">
        <v>15</v>
      </c>
      <c r="B16" s="95">
        <f>ROUND(Industry!B$16,0)</f>
        <v>11938</v>
      </c>
      <c r="C16" s="95">
        <f>ROUND(Industry!C$16,0)</f>
        <v>11832</v>
      </c>
      <c r="D16" s="95">
        <f>ROUND(Industry!D$16,0)</f>
        <v>11570</v>
      </c>
      <c r="E16" s="95">
        <f>ROUND(Industry!E$16,0)</f>
        <v>11306</v>
      </c>
      <c r="F16" s="95">
        <f>ROUND(Industry!F$16,0)</f>
        <v>11039</v>
      </c>
      <c r="G16" s="95">
        <f>ROUND(Industry!G$16,0)</f>
        <v>10928</v>
      </c>
      <c r="H16" s="95">
        <f>ROUND(Industry!H$16,0)</f>
        <v>10657</v>
      </c>
      <c r="I16" s="95">
        <f>ROUND(Industry!I$16,0)</f>
        <v>10384</v>
      </c>
      <c r="J16" s="95">
        <f>ROUND(Industry!J$16,0)</f>
        <v>10267</v>
      </c>
      <c r="K16" s="95">
        <f>ROUND(Industry!K$16,0)</f>
        <v>9990</v>
      </c>
    </row>
    <row r="17" spans="1:11" x14ac:dyDescent="0.25">
      <c r="A17" s="94" t="s">
        <v>48</v>
      </c>
      <c r="B17" s="95">
        <f>ROUND(Lodi!B$16,0)</f>
        <v>116168</v>
      </c>
      <c r="C17" s="95">
        <f>ROUND(Lodi!C$16,0)</f>
        <v>114782</v>
      </c>
      <c r="D17" s="95">
        <f>ROUND(Lodi!D$16,0)</f>
        <v>111917</v>
      </c>
      <c r="E17" s="95">
        <f>ROUND(Lodi!E$16,0)</f>
        <v>109138</v>
      </c>
      <c r="F17" s="95">
        <f>ROUND(Lodi!F$16,0)</f>
        <v>106344</v>
      </c>
      <c r="G17" s="95">
        <f>ROUND(Lodi!G$16,0)</f>
        <v>105530</v>
      </c>
      <c r="H17" s="95">
        <f>ROUND(Lodi!H$16,0)</f>
        <v>101269</v>
      </c>
      <c r="I17" s="95">
        <f>ROUND(Lodi!I$16,0)</f>
        <v>97997</v>
      </c>
      <c r="J17" s="95">
        <f>ROUND(Lodi!J$16,0)</f>
        <v>96600</v>
      </c>
      <c r="K17" s="95">
        <f>ROUND(Lodi!K$16,0)</f>
        <v>93278</v>
      </c>
    </row>
    <row r="18" spans="1:11" ht="39.6" x14ac:dyDescent="0.25">
      <c r="A18" s="94" t="s">
        <v>180</v>
      </c>
      <c r="B18" s="95">
        <f>ROUND(Lompoc!B$16,0)</f>
        <v>36365</v>
      </c>
      <c r="C18" s="95">
        <f>ROUND(Lompoc!C$16,0)</f>
        <v>35792</v>
      </c>
      <c r="D18" s="95">
        <f>ROUND(Lompoc!D$16,0)</f>
        <v>34740</v>
      </c>
      <c r="E18" s="95">
        <f>ROUND(Lompoc!E$16,0)</f>
        <v>33660</v>
      </c>
      <c r="F18" s="95">
        <f>ROUND(Lompoc!F$16,0)</f>
        <v>32603</v>
      </c>
      <c r="G18" s="95">
        <f>ROUND(Lompoc!G$16,0)</f>
        <v>32128</v>
      </c>
      <c r="H18" s="95">
        <f>ROUND(Lompoc!H$16,0)</f>
        <v>31067</v>
      </c>
      <c r="I18" s="95">
        <f>ROUND(Lompoc!I$16,0)</f>
        <v>30082</v>
      </c>
      <c r="J18" s="95">
        <f>ROUND(Lompoc!J$16,0)</f>
        <v>29661</v>
      </c>
      <c r="K18" s="95">
        <f>ROUND(Lompoc!K$16,0)</f>
        <v>28661</v>
      </c>
    </row>
    <row r="19" spans="1:11" ht="26.4" x14ac:dyDescent="0.25">
      <c r="A19" s="94" t="s">
        <v>181</v>
      </c>
      <c r="B19" s="95">
        <f>ROUND(MorenoValley!B$16,0)</f>
        <v>47450</v>
      </c>
      <c r="C19" s="95">
        <f>ROUND(MorenoValley!C$16,0)</f>
        <v>47030</v>
      </c>
      <c r="D19" s="95">
        <f>ROUND(MorenoValley!D$16,0)</f>
        <v>45989</v>
      </c>
      <c r="E19" s="95">
        <f>ROUND(MorenoValley!E$16,0)</f>
        <v>44939</v>
      </c>
      <c r="F19" s="95">
        <f>ROUND(MorenoValley!F$16,0)</f>
        <v>43879</v>
      </c>
      <c r="G19" s="95">
        <f>ROUND(MorenoValley!G$16,0)</f>
        <v>43434</v>
      </c>
      <c r="H19" s="95">
        <f>ROUND(MorenoValley!H$16,0)</f>
        <v>42358</v>
      </c>
      <c r="I19" s="95">
        <f>ROUND(MorenoValley!I$16,0)</f>
        <v>41272</v>
      </c>
      <c r="J19" s="95">
        <f>ROUND(MorenoValley!J$16,0)</f>
        <v>40810</v>
      </c>
      <c r="K19" s="95">
        <f>ROUND(MorenoValley!K$16,0)</f>
        <v>39707</v>
      </c>
    </row>
    <row r="20" spans="1:11" x14ac:dyDescent="0.25">
      <c r="A20" s="94" t="s">
        <v>20</v>
      </c>
      <c r="B20" s="95">
        <f>ROUND(Needles!B$16,0)</f>
        <v>6953</v>
      </c>
      <c r="C20" s="95">
        <f>ROUND(Needles!C$16,0)</f>
        <v>6788</v>
      </c>
      <c r="D20" s="95">
        <f>ROUND(Needles!D$16,0)</f>
        <v>6510</v>
      </c>
      <c r="E20" s="95">
        <f>ROUND(Needles!E$16,0)</f>
        <v>6082</v>
      </c>
      <c r="F20" s="95">
        <f>ROUND(Needles!F$16,0)</f>
        <v>5800</v>
      </c>
      <c r="G20" s="95">
        <f>ROUND(Needles!G$16,0)</f>
        <v>5767</v>
      </c>
      <c r="H20" s="95">
        <f>ROUND(Needles!H$16,0)</f>
        <v>5411</v>
      </c>
      <c r="I20" s="95">
        <f>ROUND(Needles!I$16,0)</f>
        <v>5049</v>
      </c>
      <c r="J20" s="95">
        <f>ROUND(Needles!J$16,0)</f>
        <v>4934</v>
      </c>
      <c r="K20" s="95">
        <f>ROUND(Needles!K$16,0)</f>
        <v>4561</v>
      </c>
    </row>
    <row r="21" spans="1:11" ht="70.2" customHeight="1" x14ac:dyDescent="0.25">
      <c r="A21" s="94" t="s">
        <v>182</v>
      </c>
      <c r="B21" s="95">
        <f>ROUND(Oakland!B$16,0)</f>
        <v>23436</v>
      </c>
      <c r="C21" s="95">
        <f>ROUND(Oakland!C$16,0)</f>
        <v>23354</v>
      </c>
      <c r="D21" s="95">
        <f>ROUND(Oakland!D$16,0)</f>
        <v>22916</v>
      </c>
      <c r="E21" s="95">
        <f>ROUND(Oakland!E$16,0)</f>
        <v>22504</v>
      </c>
      <c r="F21" s="95">
        <f>ROUND(Oakland!F$16,0)</f>
        <v>22055</v>
      </c>
      <c r="G21" s="95">
        <f>ROUND(Oakland!G$16,0)</f>
        <v>21959</v>
      </c>
      <c r="H21" s="95">
        <f>ROUND(Oakland!H$16,0)</f>
        <v>21177</v>
      </c>
      <c r="I21" s="95">
        <f>ROUND(Oakland!I$16,0)</f>
        <v>20615</v>
      </c>
      <c r="J21" s="95">
        <f>ROUND(Oakland!J$16,0)</f>
        <v>20384</v>
      </c>
      <c r="K21" s="95">
        <f>ROUND(Oakland!K$16,0)</f>
        <v>19813</v>
      </c>
    </row>
    <row r="22" spans="1:11" ht="26.4" x14ac:dyDescent="0.25">
      <c r="A22" s="94" t="s">
        <v>49</v>
      </c>
      <c r="B22" s="95">
        <f>ROUND('Palo Alto'!B$16,0)</f>
        <v>167771</v>
      </c>
      <c r="C22" s="95">
        <f>ROUND('Palo Alto'!C$16,0)</f>
        <v>162988</v>
      </c>
      <c r="D22" s="95">
        <f>ROUND('Palo Alto'!D$16,0)</f>
        <v>154859</v>
      </c>
      <c r="E22" s="95">
        <f>ROUND('Palo Alto'!E$16,0)</f>
        <v>146764</v>
      </c>
      <c r="F22" s="95">
        <f>ROUND('Palo Alto'!F$16,0)</f>
        <v>138189</v>
      </c>
      <c r="G22" s="95">
        <f>ROUND('Palo Alto'!G$16,0)</f>
        <v>133797</v>
      </c>
      <c r="H22" s="95">
        <f>ROUND('Palo Alto'!H$16,0)</f>
        <v>127404</v>
      </c>
      <c r="I22" s="95">
        <f>ROUND('Palo Alto'!I$16,0)</f>
        <v>120480</v>
      </c>
      <c r="J22" s="95">
        <f>ROUND('Palo Alto'!J$16,0)</f>
        <v>117526</v>
      </c>
      <c r="K22" s="95">
        <f>ROUND('Palo Alto'!K$16,0)</f>
        <v>110496</v>
      </c>
    </row>
    <row r="23" spans="1:11" ht="26.4" x14ac:dyDescent="0.25">
      <c r="A23" s="94" t="s">
        <v>69</v>
      </c>
      <c r="B23" s="95">
        <f>ROUND(RanchoCucamonga!B$16,0)</f>
        <v>24559</v>
      </c>
      <c r="C23" s="95">
        <f>ROUND(RanchoCucamonga!C$16,0)</f>
        <v>24342</v>
      </c>
      <c r="D23" s="95">
        <f>ROUND(RanchoCucamonga!D$16,0)</f>
        <v>23803</v>
      </c>
      <c r="E23" s="95">
        <f>ROUND(RanchoCucamonga!E$16,0)</f>
        <v>23260</v>
      </c>
      <c r="F23" s="95">
        <f>ROUND(RanchoCucamonga!F$16,0)</f>
        <v>22711</v>
      </c>
      <c r="G23" s="95">
        <f>ROUND(RanchoCucamonga!G$16,0)</f>
        <v>22481</v>
      </c>
      <c r="H23" s="95">
        <f>ROUND(RanchoCucamonga!H$16,0)</f>
        <v>21924</v>
      </c>
      <c r="I23" s="95">
        <f>ROUND(RanchoCucamonga!I$16,0)</f>
        <v>21362</v>
      </c>
      <c r="J23" s="95">
        <f>ROUND(RanchoCucamonga!J$16,0)</f>
        <v>21122</v>
      </c>
      <c r="K23" s="95">
        <f>ROUND(RanchoCucamonga!K$16,0)</f>
        <v>20552</v>
      </c>
    </row>
    <row r="24" spans="1:11" ht="39.6" x14ac:dyDescent="0.25">
      <c r="A24" s="94" t="s">
        <v>23</v>
      </c>
      <c r="B24" s="95">
        <f>ROUND(Riverside!B$16,0)</f>
        <v>1060927</v>
      </c>
      <c r="C24" s="95">
        <f>ROUND(Riverside!C$16,0)</f>
        <v>1056559</v>
      </c>
      <c r="D24" s="95">
        <f>ROUND(Riverside!D$16,0)</f>
        <v>1039042</v>
      </c>
      <c r="E24" s="95">
        <f>ROUND(Riverside!E$16,0)</f>
        <v>1015558</v>
      </c>
      <c r="F24" s="95">
        <f>ROUND(Riverside!F$16,0)</f>
        <v>1000815</v>
      </c>
      <c r="G24" s="95">
        <f>ROUND(Riverside!G$16,0)</f>
        <v>991145</v>
      </c>
      <c r="H24" s="95">
        <f>ROUND(Riverside!H$16,0)</f>
        <v>799554</v>
      </c>
      <c r="I24" s="95">
        <f>ROUND(Riverside!I$16,0)</f>
        <v>609032</v>
      </c>
      <c r="J24" s="95">
        <f>ROUND(Riverside!J$16,0)</f>
        <v>601432</v>
      </c>
      <c r="K24" s="95">
        <f>ROUND(Riverside!K$16,0)</f>
        <v>583388</v>
      </c>
    </row>
    <row r="25" spans="1:11" ht="26.4" x14ac:dyDescent="0.25">
      <c r="A25" s="94" t="s">
        <v>84</v>
      </c>
      <c r="B25" s="95">
        <f>ROUND(Roseville!B$16,0)</f>
        <v>341483</v>
      </c>
      <c r="C25" s="95">
        <f>ROUND(Roseville!C$16,0)</f>
        <v>342046</v>
      </c>
      <c r="D25" s="95">
        <f>ROUND(Roseville!D$16,0)</f>
        <v>334821</v>
      </c>
      <c r="E25" s="95">
        <f>ROUND(Roseville!E$16,0)</f>
        <v>326772</v>
      </c>
      <c r="F25" s="95">
        <f>ROUND(Roseville!F$16,0)</f>
        <v>319452</v>
      </c>
      <c r="G25" s="95">
        <f>ROUND(Roseville!G$16,0)</f>
        <v>317415</v>
      </c>
      <c r="H25" s="95">
        <f>ROUND(Roseville!H$16,0)</f>
        <v>305678</v>
      </c>
      <c r="I25" s="95">
        <f>ROUND(Roseville!I$16,0)</f>
        <v>297677</v>
      </c>
      <c r="J25" s="95">
        <f>ROUND(Roseville!J$16,0)</f>
        <v>295636</v>
      </c>
      <c r="K25" s="95">
        <f>ROUND(Roseville!K$16,0)</f>
        <v>287271</v>
      </c>
    </row>
    <row r="26" spans="1:11" ht="26.4" x14ac:dyDescent="0.25">
      <c r="A26" s="94" t="s">
        <v>85</v>
      </c>
      <c r="B26" s="95">
        <f>ROUND(ShastaLake!B$16,0)</f>
        <v>65092</v>
      </c>
      <c r="C26" s="95">
        <f>ROUND(ShastaLake!C$16,0)</f>
        <v>64709</v>
      </c>
      <c r="D26" s="95">
        <f>ROUND(ShastaLake!D$16,0)</f>
        <v>64004</v>
      </c>
      <c r="E26" s="95">
        <f>ROUND(ShastaLake!E$16,0)</f>
        <v>62828</v>
      </c>
      <c r="F26" s="95">
        <f>ROUND(ShastaLake!F$16,0)</f>
        <v>61618</v>
      </c>
      <c r="G26" s="95">
        <f>ROUND(ShastaLake!G$16,0)</f>
        <v>61269</v>
      </c>
      <c r="H26" s="95">
        <f>ROUND(ShastaLake!H$16,0)</f>
        <v>59577</v>
      </c>
      <c r="I26" s="95">
        <f>ROUND(ShastaLake!I$16,0)</f>
        <v>58394</v>
      </c>
      <c r="J26" s="95">
        <f>ROUND(ShastaLake!J$16,0)</f>
        <v>58095</v>
      </c>
      <c r="K26" s="95">
        <f>ROUND(ShastaLake!K$16,0)</f>
        <v>56858</v>
      </c>
    </row>
    <row r="27" spans="1:11" x14ac:dyDescent="0.25">
      <c r="A27" s="94" t="s">
        <v>51</v>
      </c>
      <c r="B27" s="95">
        <f>ROUND(Ukiah!B$16,0)</f>
        <v>30101</v>
      </c>
      <c r="C27" s="95">
        <f>ROUND(Ukiah!C$16,0)</f>
        <v>29715</v>
      </c>
      <c r="D27" s="95">
        <f>ROUND(Ukiah!D$16,0)</f>
        <v>28749</v>
      </c>
      <c r="E27" s="95">
        <f>ROUND(Ukiah!E$16,0)</f>
        <v>27732</v>
      </c>
      <c r="F27" s="95">
        <f>ROUND(Ukiah!F$16,0)</f>
        <v>26858</v>
      </c>
      <c r="G27" s="95">
        <f>ROUND(Ukiah!G$16,0)</f>
        <v>26333</v>
      </c>
      <c r="H27" s="95">
        <f>ROUND(Ukiah!H$16,0)</f>
        <v>25448</v>
      </c>
      <c r="I27" s="95">
        <f>ROUND(Ukiah!I$16,0)</f>
        <v>24577</v>
      </c>
      <c r="J27" s="95">
        <f>ROUND(Ukiah!J$16,0)</f>
        <v>24201</v>
      </c>
      <c r="K27" s="95">
        <f>ROUND(Ukiah!K$16,0)</f>
        <v>23316</v>
      </c>
    </row>
    <row r="28" spans="1:11" ht="39.6" x14ac:dyDescent="0.25">
      <c r="A28" s="94" t="s">
        <v>26</v>
      </c>
      <c r="B28" s="95">
        <f>ROUND(Vernon!B$16,0)</f>
        <v>365766</v>
      </c>
      <c r="C28" s="95">
        <f>ROUND(Vernon!C$16,0)</f>
        <v>362830</v>
      </c>
      <c r="D28" s="95">
        <f>ROUND(Vernon!D$16,0)</f>
        <v>353029</v>
      </c>
      <c r="E28" s="95">
        <f>ROUND(Vernon!E$16,0)</f>
        <v>342878</v>
      </c>
      <c r="F28" s="95">
        <f>ROUND(Vernon!F$16,0)</f>
        <v>332947</v>
      </c>
      <c r="G28" s="95">
        <f>ROUND(Vernon!G$16,0)</f>
        <v>327688</v>
      </c>
      <c r="H28" s="95">
        <f>ROUND(Vernon!H$16,0)</f>
        <v>317692</v>
      </c>
      <c r="I28" s="95">
        <f>ROUND(Vernon!I$16,0)</f>
        <v>308141</v>
      </c>
      <c r="J28" s="95">
        <f>ROUND(Vernon!J$16,0)</f>
        <v>304095</v>
      </c>
      <c r="K28" s="95">
        <f>ROUND(Vernon!K$16,0)</f>
        <v>294385</v>
      </c>
    </row>
    <row r="29" spans="1:11" ht="26.4" x14ac:dyDescent="0.25">
      <c r="A29" s="94" t="s">
        <v>105</v>
      </c>
      <c r="B29" s="95">
        <f>ROUND(Victorville!B$16,0)</f>
        <v>24531</v>
      </c>
      <c r="C29" s="95">
        <f>ROUND(Victorville!C$16,0)</f>
        <v>24331</v>
      </c>
      <c r="D29" s="95">
        <f>ROUND(Victorville!D$16,0)</f>
        <v>23783</v>
      </c>
      <c r="E29" s="95">
        <f>ROUND(Victorville!E$16,0)</f>
        <v>23083</v>
      </c>
      <c r="F29" s="95">
        <f>ROUND(Victorville!F$16,0)</f>
        <v>22528</v>
      </c>
      <c r="G29" s="95">
        <f>ROUND(Victorville!G$16,0)</f>
        <v>22325</v>
      </c>
      <c r="H29" s="95">
        <f>ROUND(Victorville!H$16,0)</f>
        <v>21711</v>
      </c>
      <c r="I29" s="95">
        <f>ROUND(Victorville!I$16,0)</f>
        <v>21092</v>
      </c>
      <c r="J29" s="95">
        <f>ROUND(Victorville!J$16,0)</f>
        <v>20824</v>
      </c>
      <c r="K29" s="95">
        <f>ROUND(Victorville!K$16,0)</f>
        <v>20195</v>
      </c>
    </row>
    <row r="30" spans="1:11" ht="39.6" x14ac:dyDescent="0.25">
      <c r="A30" s="94" t="s">
        <v>16</v>
      </c>
      <c r="B30" s="95">
        <f>ROUND(Eastside!B$16,0)</f>
        <v>1206</v>
      </c>
      <c r="C30" s="95">
        <f>ROUND(Eastside!C$16,0)</f>
        <v>1134</v>
      </c>
      <c r="D30" s="95">
        <f>ROUND(Eastside!D$16,0)</f>
        <v>957</v>
      </c>
      <c r="E30" s="95">
        <f>ROUND(Eastside!E$16,0)</f>
        <v>778</v>
      </c>
      <c r="F30" s="95">
        <f>ROUND(Eastside!F$16,0)</f>
        <v>597</v>
      </c>
      <c r="G30" s="95">
        <f>ROUND(Eastside!G$16,0)</f>
        <v>573</v>
      </c>
      <c r="H30" s="95">
        <f>ROUND(Eastside!H$16,0)</f>
        <v>575</v>
      </c>
      <c r="I30" s="95">
        <f>ROUND(Eastside!I$16,0)</f>
        <v>578</v>
      </c>
      <c r="J30" s="95">
        <f>ROUND(Eastside!J$16,0)</f>
        <v>580</v>
      </c>
      <c r="K30" s="95">
        <f>ROUND(Eastside!K$16,0)</f>
        <v>582</v>
      </c>
    </row>
    <row r="31" spans="1:11" ht="79.2" x14ac:dyDescent="0.25">
      <c r="A31" s="94" t="s">
        <v>183</v>
      </c>
      <c r="B31" s="95">
        <f>ROUND(GoldenState!B$16,0)</f>
        <v>44894</v>
      </c>
      <c r="C31" s="95">
        <f>ROUND(GoldenState!C$16,0)</f>
        <v>44649</v>
      </c>
      <c r="D31" s="95">
        <f>ROUND(GoldenState!D$16,0)</f>
        <v>43482</v>
      </c>
      <c r="E31" s="95">
        <f>ROUND(GoldenState!E$16,0)</f>
        <v>42631</v>
      </c>
      <c r="F31" s="95">
        <f>ROUND(GoldenState!F$16,0)</f>
        <v>41455</v>
      </c>
      <c r="G31" s="95">
        <f>ROUND(GoldenState!G$16,0)</f>
        <v>40867</v>
      </c>
      <c r="H31" s="95">
        <f>ROUND(GoldenState!H$16,0)</f>
        <v>39855</v>
      </c>
      <c r="I31" s="95">
        <f>ROUND(GoldenState!I$16,0)</f>
        <v>38833</v>
      </c>
      <c r="J31" s="95">
        <f>ROUND(GoldenState!J$16,0)</f>
        <v>38397</v>
      </c>
      <c r="K31" s="95">
        <f>ROUND(GoldenState!K$16,0)</f>
        <v>37360</v>
      </c>
    </row>
    <row r="32" spans="1:11" ht="26.4" x14ac:dyDescent="0.25">
      <c r="A32" s="94" t="s">
        <v>17</v>
      </c>
      <c r="B32" s="95">
        <f>ROUND(Gridley!B$16,0)</f>
        <v>6517</v>
      </c>
      <c r="C32" s="95">
        <f>ROUND(Gridley!C$16,0)</f>
        <v>6392</v>
      </c>
      <c r="D32" s="95">
        <f>ROUND(Gridley!D$16,0)</f>
        <v>6118</v>
      </c>
      <c r="E32" s="95">
        <f>ROUND(Gridley!E$16,0)</f>
        <v>5846</v>
      </c>
      <c r="F32" s="95">
        <f>ROUND(Gridley!F$16,0)</f>
        <v>5573</v>
      </c>
      <c r="G32" s="95">
        <f>ROUND(Gridley!G$16,0)</f>
        <v>5451</v>
      </c>
      <c r="H32" s="95">
        <f>ROUND(Gridley!H$16,0)</f>
        <v>5162</v>
      </c>
      <c r="I32" s="95">
        <f>ROUND(Gridley!I$16,0)</f>
        <v>4900</v>
      </c>
      <c r="J32" s="95">
        <f>ROUND(Gridley!J$16,0)</f>
        <v>4787</v>
      </c>
      <c r="K32" s="95">
        <f>ROUND(Gridley!K$16,0)</f>
        <v>4521</v>
      </c>
    </row>
    <row r="33" spans="1:11" ht="39.6" x14ac:dyDescent="0.25">
      <c r="A33" s="94" t="s">
        <v>6</v>
      </c>
      <c r="B33" s="95">
        <f>ROUND(ImperialID!B$16,0)</f>
        <v>1199715</v>
      </c>
      <c r="C33" s="95">
        <f>ROUND(ImperialID!C$16,0)</f>
        <v>1208295</v>
      </c>
      <c r="D33" s="95">
        <f>ROUND(ImperialID!D$16,0)</f>
        <v>1200777</v>
      </c>
      <c r="E33" s="95">
        <f>ROUND(ImperialID!E$16,0)</f>
        <v>1187233</v>
      </c>
      <c r="F33" s="95">
        <f>ROUND(ImperialID!F$16,0)</f>
        <v>1174397</v>
      </c>
      <c r="G33" s="95">
        <f>ROUND(ImperialID!G$16,0)</f>
        <v>1175503</v>
      </c>
      <c r="H33" s="95">
        <f>ROUND(ImperialID!H$16,0)</f>
        <v>1139580</v>
      </c>
      <c r="I33" s="95">
        <f>ROUND(ImperialID!I$16,0)</f>
        <v>1121820</v>
      </c>
      <c r="J33" s="95">
        <f>ROUND(ImperialID!J$16,0)</f>
        <v>1121083</v>
      </c>
      <c r="K33" s="95">
        <f>ROUND(ImperialID!K$16,0)</f>
        <v>1102097</v>
      </c>
    </row>
    <row r="34" spans="1:11" ht="26.4" x14ac:dyDescent="0.25">
      <c r="A34" s="94" t="s">
        <v>106</v>
      </c>
      <c r="B34" s="95">
        <f>ROUND(Kirkwood!B$16,0)</f>
        <v>2226</v>
      </c>
      <c r="C34" s="95">
        <f>ROUND(Kirkwood!C$16,0)</f>
        <v>2236</v>
      </c>
      <c r="D34" s="95">
        <f>ROUND(Kirkwood!D$16,0)</f>
        <v>2216</v>
      </c>
      <c r="E34" s="95">
        <f>ROUND(Kirkwood!E$16,0)</f>
        <v>2197</v>
      </c>
      <c r="F34" s="95">
        <f>ROUND(Kirkwood!F$16,0)</f>
        <v>2178</v>
      </c>
      <c r="G34" s="95">
        <f>ROUND(Kirkwood!G$16,0)</f>
        <v>2191</v>
      </c>
      <c r="H34" s="95">
        <f>ROUND(Kirkwood!H$16,0)</f>
        <v>2157</v>
      </c>
      <c r="I34" s="95">
        <f>ROUND(Kirkwood!I$16,0)</f>
        <v>2123</v>
      </c>
      <c r="J34" s="95">
        <f>ROUND(Kirkwood!J$16,0)</f>
        <v>2118</v>
      </c>
      <c r="K34" s="95">
        <f>ROUND(Kirkwood!K$16,0)</f>
        <v>2082</v>
      </c>
    </row>
    <row r="35" spans="1:11" ht="39.6" x14ac:dyDescent="0.25">
      <c r="A35" s="94" t="s">
        <v>18</v>
      </c>
      <c r="B35" s="95">
        <f>ROUND(Lassen!B$16,0)</f>
        <v>33810</v>
      </c>
      <c r="C35" s="95">
        <f>ROUND(Lassen!C$16,0)</f>
        <v>33365</v>
      </c>
      <c r="D35" s="95">
        <f>ROUND(Lassen!D$16,0)</f>
        <v>32316</v>
      </c>
      <c r="E35" s="95">
        <f>ROUND(Lassen!E$16,0)</f>
        <v>31403</v>
      </c>
      <c r="F35" s="95">
        <f>ROUND(Lassen!F$16,0)</f>
        <v>30330</v>
      </c>
      <c r="G35" s="95">
        <f>ROUND(Lassen!G$16,0)</f>
        <v>30012</v>
      </c>
      <c r="H35" s="95">
        <f>ROUND(Lassen!H$16,0)</f>
        <v>29048</v>
      </c>
      <c r="I35" s="95">
        <f>ROUND(Lassen!I$16,0)</f>
        <v>28020</v>
      </c>
      <c r="J35" s="95">
        <f>ROUND(Lassen!J$16,0)</f>
        <v>27589</v>
      </c>
      <c r="K35" s="95">
        <f>ROUND(Lassen!K$16,0)</f>
        <v>26544</v>
      </c>
    </row>
    <row r="36" spans="1:11" ht="39.6" x14ac:dyDescent="0.25">
      <c r="A36" s="94" t="s">
        <v>29</v>
      </c>
      <c r="B36" s="95">
        <f>ROUND(Liberty!B$16,0)</f>
        <v>189367</v>
      </c>
      <c r="C36" s="95">
        <f>ROUND(Liberty!C$16,0)</f>
        <v>188590</v>
      </c>
      <c r="D36" s="95">
        <f>ROUND(Liberty!D$16,0)</f>
        <v>185284</v>
      </c>
      <c r="E36" s="95">
        <f>ROUND(Liberty!E$16,0)</f>
        <v>181575</v>
      </c>
      <c r="F36" s="95">
        <f>ROUND(Liberty!F$16,0)</f>
        <v>177489</v>
      </c>
      <c r="G36" s="95">
        <f>ROUND(Liberty!G$16,0)</f>
        <v>175880</v>
      </c>
      <c r="H36" s="95">
        <f>ROUND(Liberty!H$16,0)</f>
        <v>171165</v>
      </c>
      <c r="I36" s="95">
        <f>ROUND(Liberty!I$16,0)</f>
        <v>167293</v>
      </c>
      <c r="J36" s="95">
        <f>ROUND(Liberty!J$16,0)</f>
        <v>165928</v>
      </c>
      <c r="K36" s="95">
        <f>ROUND(Liberty!K$16,0)</f>
        <v>161944</v>
      </c>
    </row>
    <row r="37" spans="1:11" ht="52.8" x14ac:dyDescent="0.25">
      <c r="A37" s="94" t="s">
        <v>184</v>
      </c>
      <c r="B37" s="95">
        <f>ROUND(LADWP!B$16,0)</f>
        <v>10440249</v>
      </c>
      <c r="C37" s="95">
        <f>ROUND(LADWP!C$16,0)</f>
        <v>10278898</v>
      </c>
      <c r="D37" s="95">
        <f>ROUND(LADWP!D$16,0)</f>
        <v>9920930</v>
      </c>
      <c r="E37" s="95">
        <f>ROUND(LADWP!E$16,0)</f>
        <v>9569498</v>
      </c>
      <c r="F37" s="95">
        <f>ROUND(LADWP!F$16,0)</f>
        <v>9653515</v>
      </c>
      <c r="G37" s="95">
        <f>ROUND(LADWP!G$16,0)</f>
        <v>9622159</v>
      </c>
      <c r="H37" s="95">
        <f>ROUND(LADWP!H$16,0)</f>
        <v>7644667</v>
      </c>
      <c r="I37" s="95">
        <f>ROUND(LADWP!I$16,0)</f>
        <v>5737260</v>
      </c>
      <c r="J37" s="95">
        <f>ROUND(LADWP!J$16,0)</f>
        <v>5668683</v>
      </c>
      <c r="K37" s="95">
        <f>ROUND(LADWP!K$16,0)</f>
        <v>5492192</v>
      </c>
    </row>
    <row r="38" spans="1:11" ht="39.6" x14ac:dyDescent="0.25">
      <c r="A38" s="94" t="s">
        <v>86</v>
      </c>
      <c r="B38" s="95">
        <v>134002</v>
      </c>
      <c r="C38" s="95">
        <v>134112</v>
      </c>
      <c r="D38" s="95">
        <v>132626</v>
      </c>
      <c r="E38" s="95">
        <v>130630</v>
      </c>
      <c r="F38" s="95">
        <v>128256</v>
      </c>
      <c r="G38" s="95">
        <v>127984</v>
      </c>
      <c r="H38" s="95">
        <v>124326</v>
      </c>
      <c r="I38" s="95">
        <v>122118</v>
      </c>
      <c r="J38" s="95">
        <v>121799</v>
      </c>
      <c r="K38" s="95">
        <v>119445</v>
      </c>
    </row>
    <row r="39" spans="1:11" ht="39.6" x14ac:dyDescent="0.25">
      <c r="A39" s="94" t="s">
        <v>0</v>
      </c>
      <c r="B39" s="95">
        <v>714695</v>
      </c>
      <c r="C39" s="95">
        <v>713743</v>
      </c>
      <c r="D39" s="95">
        <v>700645</v>
      </c>
      <c r="E39" s="95">
        <v>686193</v>
      </c>
      <c r="F39" s="95">
        <v>673058</v>
      </c>
      <c r="G39" s="95">
        <v>669670</v>
      </c>
      <c r="H39" s="95">
        <v>647298</v>
      </c>
      <c r="I39" s="95">
        <v>632626</v>
      </c>
      <c r="J39" s="95">
        <v>629343</v>
      </c>
      <c r="K39" s="95">
        <v>613909</v>
      </c>
    </row>
    <row r="40" spans="1:11" ht="39.6" x14ac:dyDescent="0.25">
      <c r="A40" s="94" t="s">
        <v>185</v>
      </c>
      <c r="B40" s="95">
        <f>ROUND(PGE!B$16,0)</f>
        <v>17599777</v>
      </c>
      <c r="C40" s="95">
        <f>ROUND(PGE!C$16,0)</f>
        <v>17460185</v>
      </c>
      <c r="D40" s="95">
        <f>ROUND(PGE!D$16,0)</f>
        <v>16921166</v>
      </c>
      <c r="E40" s="95">
        <f>ROUND(PGE!E$16,0)</f>
        <v>16757499</v>
      </c>
      <c r="F40" s="95">
        <f>ROUND(PGE!F$16,0)</f>
        <v>21426107</v>
      </c>
      <c r="G40" s="95">
        <f>ROUND(PGE!G$16,0)</f>
        <v>23023113</v>
      </c>
      <c r="H40" s="95">
        <f>ROUND(PGE!H$16,0)</f>
        <v>22260374</v>
      </c>
      <c r="I40" s="95">
        <f>ROUND(PGE!I$16,0)</f>
        <v>21597094</v>
      </c>
      <c r="J40" s="95">
        <f>ROUND(PGE!J$16,0)</f>
        <v>21308651</v>
      </c>
      <c r="K40" s="95">
        <f>ROUND(PGE!K$16,0)</f>
        <v>20636456</v>
      </c>
    </row>
    <row r="41" spans="1:11" x14ac:dyDescent="0.25">
      <c r="A41" s="94" t="s">
        <v>12</v>
      </c>
      <c r="B41" s="95">
        <f>ROUND(PacifiCorp!B$9,0)</f>
        <v>551045</v>
      </c>
      <c r="C41" s="95">
        <f>ROUND(PacifiCorp!C$9,0)</f>
        <v>550696</v>
      </c>
      <c r="D41" s="95">
        <f>ROUND(PacifiCorp!D$9,0)</f>
        <v>544824</v>
      </c>
      <c r="E41" s="95">
        <f>ROUND(PacifiCorp!E$9,0)</f>
        <v>529519</v>
      </c>
      <c r="F41" s="95">
        <f>ROUND(PacifiCorp!F$9,0)</f>
        <v>523766</v>
      </c>
      <c r="G41" s="95">
        <f>ROUND(PacifiCorp!G$9,0)</f>
        <v>518466</v>
      </c>
      <c r="H41" s="95">
        <f>ROUND(PacifiCorp!H$9,0)</f>
        <v>508806</v>
      </c>
      <c r="I41" s="95">
        <f>ROUND(PacifiCorp!I$9,0)</f>
        <v>502973</v>
      </c>
      <c r="J41" s="95">
        <f>ROUND(PacifiCorp!J$9,0)</f>
        <v>501766</v>
      </c>
      <c r="K41" s="95">
        <f>ROUND(PacifiCorp!K$9,0)</f>
        <v>474261</v>
      </c>
    </row>
    <row r="42" spans="1:11" ht="39.6" x14ac:dyDescent="0.25">
      <c r="A42" s="94" t="s">
        <v>34</v>
      </c>
      <c r="B42" s="95">
        <f>ROUND(Pasadena!B$16,0)</f>
        <v>662521</v>
      </c>
      <c r="C42" s="95">
        <f>ROUND(Pasadena!C$16,0)</f>
        <v>647114</v>
      </c>
      <c r="D42" s="95">
        <f>ROUND(Pasadena!D$16,0)</f>
        <v>640632</v>
      </c>
      <c r="E42" s="95">
        <f>ROUND(Pasadena!E$16,0)</f>
        <v>635705</v>
      </c>
      <c r="F42" s="95">
        <f>ROUND(Pasadena!F$16,0)</f>
        <v>618698</v>
      </c>
      <c r="G42" s="95">
        <f>ROUND(Pasadena!G$16,0)</f>
        <v>608140</v>
      </c>
      <c r="H42" s="95">
        <f>ROUND(Pasadena!H$16,0)</f>
        <v>445968</v>
      </c>
      <c r="I42" s="95">
        <f>ROUND(Pasadena!I$16,0)</f>
        <v>284257</v>
      </c>
      <c r="J42" s="95">
        <f>ROUND(Pasadena!J$16,0)</f>
        <v>280319</v>
      </c>
      <c r="K42" s="95">
        <f>ROUND(Pasadena!K$16,0)</f>
        <v>270998</v>
      </c>
    </row>
    <row r="43" spans="1:11" ht="39.6" x14ac:dyDescent="0.25">
      <c r="A43" s="94" t="s">
        <v>28</v>
      </c>
      <c r="B43" s="95">
        <f>ROUND(Pittsburg!B$16,0)</f>
        <v>5215</v>
      </c>
      <c r="C43" s="95">
        <f>ROUND(Pittsburg!C$16,0)</f>
        <v>5171</v>
      </c>
      <c r="D43" s="95">
        <f>ROUND(Pittsburg!D$16,0)</f>
        <v>5036</v>
      </c>
      <c r="E43" s="95">
        <f>ROUND(Pittsburg!E$16,0)</f>
        <v>4901</v>
      </c>
      <c r="F43" s="95">
        <f>ROUND(Pittsburg!F$16,0)</f>
        <v>4766</v>
      </c>
      <c r="G43" s="95">
        <f>ROUND(Pittsburg!G$16,0)</f>
        <v>4723</v>
      </c>
      <c r="H43" s="95">
        <f>ROUND(Pittsburg!H$16,0)</f>
        <v>4572</v>
      </c>
      <c r="I43" s="95">
        <f>ROUND(Pittsburg!I$16,0)</f>
        <v>4419</v>
      </c>
      <c r="J43" s="95">
        <f>ROUND(Pittsburg!J$16,0)</f>
        <v>4357</v>
      </c>
      <c r="K43" s="95">
        <f>ROUND(Pittsburg!K$16,0)</f>
        <v>4202</v>
      </c>
    </row>
    <row r="44" spans="1:11" ht="39.6" x14ac:dyDescent="0.25">
      <c r="A44" s="94" t="s">
        <v>186</v>
      </c>
      <c r="B44" s="95">
        <f>ROUND(PlumasSierra!B$16,0)</f>
        <v>30445</v>
      </c>
      <c r="C44" s="95">
        <f>ROUND(PlumasSierra!C$16,0)</f>
        <v>29699</v>
      </c>
      <c r="D44" s="95">
        <f>ROUND(PlumasSierra!D$16,0)</f>
        <v>28229</v>
      </c>
      <c r="E44" s="95">
        <f>ROUND(PlumasSierra!E$16,0)</f>
        <v>26757</v>
      </c>
      <c r="F44" s="95">
        <f>ROUND(PlumasSierra!F$16,0)</f>
        <v>25391</v>
      </c>
      <c r="G44" s="95">
        <f>ROUND(PlumasSierra!G$16,0)</f>
        <v>24508</v>
      </c>
      <c r="H44" s="95">
        <f>ROUND(PlumasSierra!H$16,0)</f>
        <v>23467</v>
      </c>
      <c r="I44" s="95">
        <f>ROUND(PlumasSierra!I$16,0)</f>
        <v>22277</v>
      </c>
      <c r="J44" s="95">
        <f>ROUND(PlumasSierra!J$16,0)</f>
        <v>21765</v>
      </c>
      <c r="K44" s="95">
        <f>ROUND(PlumasSierra!K$16,0)</f>
        <v>20557</v>
      </c>
    </row>
    <row r="45" spans="1:11" ht="66" x14ac:dyDescent="0.25">
      <c r="A45" s="94" t="s">
        <v>187</v>
      </c>
      <c r="B45" s="95">
        <f>ROUND(PWRPA!B$16,0)</f>
        <v>101080</v>
      </c>
      <c r="C45" s="95">
        <f>ROUND(PWRPA!C$16,0)</f>
        <v>98833</v>
      </c>
      <c r="D45" s="95">
        <f>ROUND(PWRPA!D$16,0)</f>
        <v>94340</v>
      </c>
      <c r="E45" s="95">
        <f>ROUND(PWRPA!E$16,0)</f>
        <v>89848</v>
      </c>
      <c r="F45" s="95">
        <f>ROUND(PWRPA!F$16,0)</f>
        <v>85355</v>
      </c>
      <c r="G45" s="95">
        <f>ROUND(PWRPA!G$16,0)</f>
        <v>83109</v>
      </c>
      <c r="H45" s="95">
        <f>ROUND(PWRPA!H$16,0)</f>
        <v>78616</v>
      </c>
      <c r="I45" s="95">
        <f>ROUND(PWRPA!I$16,0)</f>
        <v>74123</v>
      </c>
      <c r="J45" s="95">
        <f>ROUND(PWRPA!J$16,0)</f>
        <v>71877</v>
      </c>
      <c r="K45" s="95">
        <f>ROUND(PWRPA!K$16,0)</f>
        <v>67384</v>
      </c>
    </row>
    <row r="46" spans="1:11" ht="26.4" x14ac:dyDescent="0.25">
      <c r="A46" s="94" t="s">
        <v>22</v>
      </c>
      <c r="B46" s="95">
        <f>ROUND(Redding!B$16,0)</f>
        <v>155878</v>
      </c>
      <c r="C46" s="95">
        <f>ROUND(Redding!C$16,0)</f>
        <v>155281</v>
      </c>
      <c r="D46" s="95">
        <f>ROUND(Redding!D$16,0)</f>
        <v>151053</v>
      </c>
      <c r="E46" s="95">
        <f>ROUND(Redding!E$16,0)</f>
        <v>146233</v>
      </c>
      <c r="F46" s="95">
        <f>ROUND(Redding!F$16,0)</f>
        <v>141257</v>
      </c>
      <c r="G46" s="95">
        <f>ROUND(Redding!G$16,0)</f>
        <v>140090</v>
      </c>
      <c r="H46" s="95">
        <f>ROUND(Redding!H$16,0)</f>
        <v>132667</v>
      </c>
      <c r="I46" s="95">
        <f>ROUND(Redding!I$16,0)</f>
        <v>127652</v>
      </c>
      <c r="J46" s="95">
        <f>ROUND(Redding!J$16,0)</f>
        <v>126384</v>
      </c>
      <c r="K46" s="95">
        <f>ROUND(Redding!K$16,0)</f>
        <v>121139</v>
      </c>
    </row>
    <row r="47" spans="1:11" ht="52.8" x14ac:dyDescent="0.25">
      <c r="A47" s="94" t="s">
        <v>3</v>
      </c>
      <c r="B47" s="95">
        <f>ROUND(SMUD!B$16,0)</f>
        <v>2809902</v>
      </c>
      <c r="C47" s="95">
        <f>ROUND(SMUD!C$16,0)</f>
        <v>2792687</v>
      </c>
      <c r="D47" s="95">
        <f>ROUND(SMUD!D$16,0)</f>
        <v>2721959</v>
      </c>
      <c r="E47" s="95">
        <f>ROUND(SMUD!E$16,0)</f>
        <v>2650543</v>
      </c>
      <c r="F47" s="95">
        <f>ROUND(SMUD!F$16,0)</f>
        <v>2574500</v>
      </c>
      <c r="G47" s="95">
        <f>ROUND(SMUD!G$16,0)</f>
        <v>2547876</v>
      </c>
      <c r="H47" s="95">
        <f>ROUND(SMUD!H$16,0)</f>
        <v>2455270</v>
      </c>
      <c r="I47" s="95">
        <f>ROUND(SMUD!I$16,0)</f>
        <v>2386459</v>
      </c>
      <c r="J47" s="95">
        <f>ROUND(SMUD!J$16,0)</f>
        <v>2369293</v>
      </c>
      <c r="K47" s="95">
        <f>ROUND(SMUD!K$16,0)</f>
        <v>2297289</v>
      </c>
    </row>
    <row r="48" spans="1:11" ht="39.6" x14ac:dyDescent="0.25">
      <c r="A48" s="94" t="s">
        <v>188</v>
      </c>
      <c r="B48" s="95">
        <f>ROUND(SDGE!B$16,0)</f>
        <v>6766147</v>
      </c>
      <c r="C48" s="95">
        <f>ROUND(SDGE!C$16,0)</f>
        <v>6737256</v>
      </c>
      <c r="D48" s="95">
        <f>ROUND(SDGE!D$16,0)</f>
        <v>6586708</v>
      </c>
      <c r="E48" s="95">
        <f>ROUND(SDGE!E$16,0)</f>
        <v>6435664</v>
      </c>
      <c r="F48" s="95">
        <f>ROUND(SDGE!F$16,0)</f>
        <v>6279487</v>
      </c>
      <c r="G48" s="95">
        <f>ROUND(SDGE!G$16,0)</f>
        <v>6208750</v>
      </c>
      <c r="H48" s="95">
        <f>ROUND(SDGE!H$16,0)</f>
        <v>6023536</v>
      </c>
      <c r="I48" s="95">
        <f>ROUND(SDGE!I$16,0)</f>
        <v>5857961</v>
      </c>
      <c r="J48" s="95">
        <f>ROUND(SDGE!J$16,0)</f>
        <v>5782142</v>
      </c>
      <c r="K48" s="95">
        <f>ROUND(SDGE!K$16,0)</f>
        <v>5615045</v>
      </c>
    </row>
    <row r="49" spans="1:11" ht="52.8" x14ac:dyDescent="0.25">
      <c r="A49" s="94" t="s">
        <v>24</v>
      </c>
      <c r="B49" s="95">
        <f>ROUND(SiliconValley!B$16,0)</f>
        <v>771858</v>
      </c>
      <c r="C49" s="95">
        <f>ROUND(SiliconValley!C$16,0)</f>
        <v>761415</v>
      </c>
      <c r="D49" s="95">
        <f>ROUND(SiliconValley!D$16,0)</f>
        <v>735843</v>
      </c>
      <c r="E49" s="95">
        <f>ROUND(SiliconValley!E$16,0)</f>
        <v>710042</v>
      </c>
      <c r="F49" s="95">
        <f>ROUND(SiliconValley!F$16,0)</f>
        <v>684010</v>
      </c>
      <c r="G49" s="95">
        <f>ROUND(SiliconValley!G$16,0)</f>
        <v>672959</v>
      </c>
      <c r="H49" s="95">
        <f>ROUND(SiliconValley!H$16,0)</f>
        <v>646526</v>
      </c>
      <c r="I49" s="95">
        <f>ROUND(SiliconValley!I$16,0)</f>
        <v>619858</v>
      </c>
      <c r="J49" s="95">
        <f>ROUND(SiliconValley!J$16,0)</f>
        <v>608355</v>
      </c>
      <c r="K49" s="95">
        <f>ROUND(SiliconValley!K$16,0)</f>
        <v>581278</v>
      </c>
    </row>
    <row r="50" spans="1:11" ht="52.8" x14ac:dyDescent="0.25">
      <c r="A50" s="94" t="s">
        <v>189</v>
      </c>
      <c r="B50" s="96">
        <f>ROUND(SCE!B$16,0)</f>
        <v>25183597</v>
      </c>
      <c r="C50" s="96">
        <f>ROUND(SCE!C$16,0)</f>
        <v>24999282</v>
      </c>
      <c r="D50" s="96">
        <f>ROUND(SCE!D$16,0)</f>
        <v>24357709</v>
      </c>
      <c r="E50" s="96">
        <f>ROUND(SCE!E$16,0)</f>
        <v>23681594</v>
      </c>
      <c r="F50" s="96">
        <f>ROUND(SCE!F$16,0)</f>
        <v>23035309</v>
      </c>
      <c r="G50" s="96">
        <f>ROUND(SCE!G$16,0)</f>
        <v>22687800</v>
      </c>
      <c r="H50" s="96">
        <f>ROUND(SCE!H$16,0)</f>
        <v>21942596</v>
      </c>
      <c r="I50" s="96">
        <f>ROUND(SCE!I$16,0)</f>
        <v>21240462</v>
      </c>
      <c r="J50" s="96">
        <f>ROUND(SCE!J$16,0)</f>
        <v>20907873</v>
      </c>
      <c r="K50" s="96">
        <f>ROUND(SCE!K$16,0)</f>
        <v>20201590</v>
      </c>
    </row>
    <row r="51" spans="1:11" ht="26.4" x14ac:dyDescent="0.25">
      <c r="A51" s="94" t="s">
        <v>190</v>
      </c>
      <c r="B51" s="95">
        <f>ROUND(Stockton!B$16,0)</f>
        <v>6945</v>
      </c>
      <c r="C51" s="95">
        <f>ROUND(Stockton!C$16,0)</f>
        <v>6900</v>
      </c>
      <c r="D51" s="95">
        <f>ROUND(Stockton!D$16,0)</f>
        <v>6768</v>
      </c>
      <c r="E51" s="95">
        <f>ROUND(Stockton!E$16,0)</f>
        <v>6635</v>
      </c>
      <c r="F51" s="95">
        <f>ROUND(Stockton!F$16,0)</f>
        <v>6503</v>
      </c>
      <c r="G51" s="95">
        <f>ROUND(Stockton!G$16,0)</f>
        <v>6293</v>
      </c>
      <c r="H51" s="95">
        <f>ROUND(Stockton!H$16,0)</f>
        <v>6254</v>
      </c>
      <c r="I51" s="95">
        <f>ROUND(Stockton!I$16,0)</f>
        <v>6103</v>
      </c>
      <c r="J51" s="95">
        <f>ROUND(Stockton!J$16,0)</f>
        <v>6040</v>
      </c>
      <c r="K51" s="95">
        <f>ROUND(Stockton!K$16,0)</f>
        <v>5886</v>
      </c>
    </row>
    <row r="52" spans="1:11" ht="39.6" x14ac:dyDescent="0.25">
      <c r="A52" s="94" t="s">
        <v>32</v>
      </c>
      <c r="B52" s="95">
        <f>ROUND(SurpriseValley!B$16,0)</f>
        <v>2770</v>
      </c>
      <c r="C52" s="95">
        <f>ROUND(SurpriseValley!C$16,0)</f>
        <v>2790</v>
      </c>
      <c r="D52" s="95">
        <f>ROUND(SurpriseValley!D$16,0)</f>
        <v>2811</v>
      </c>
      <c r="E52" s="95">
        <f>ROUND(SurpriseValley!E$16,0)</f>
        <v>2831</v>
      </c>
      <c r="F52" s="95">
        <f>ROUND(SurpriseValley!F$16,0)</f>
        <v>2852</v>
      </c>
      <c r="G52" s="95">
        <f>ROUND(SurpriseValley!G$16,0)</f>
        <v>2873</v>
      </c>
      <c r="H52" s="95">
        <f>ROUND(SurpriseValley!H$16,0)</f>
        <v>2894</v>
      </c>
      <c r="I52" s="95">
        <f>ROUND(SurpriseValley!I$16,0)</f>
        <v>2915</v>
      </c>
      <c r="J52" s="95">
        <f>ROUND(SurpriseValley!J$16,0)</f>
        <v>2937</v>
      </c>
      <c r="K52" s="95">
        <f>ROUND(SurpriseValley!K$16,0)</f>
        <v>2958</v>
      </c>
    </row>
    <row r="53" spans="1:11" ht="39.6" x14ac:dyDescent="0.25">
      <c r="A53" s="94" t="s">
        <v>25</v>
      </c>
      <c r="B53" s="95">
        <f>ROUND(TruckeeDonner!B$16,0)</f>
        <v>53342</v>
      </c>
      <c r="C53" s="95">
        <f>ROUND(TruckeeDonner!C$16,0)</f>
        <v>53088</v>
      </c>
      <c r="D53" s="95">
        <f>ROUND(TruckeeDonner!D$16,0)</f>
        <v>52168</v>
      </c>
      <c r="E53" s="95">
        <f>ROUND(TruckeeDonner!E$16,0)</f>
        <v>51234</v>
      </c>
      <c r="F53" s="95">
        <f>ROUND(TruckeeDonner!F$16,0)</f>
        <v>50287</v>
      </c>
      <c r="G53" s="95">
        <f>ROUND(TruckeeDonner!G$16,0)</f>
        <v>50001</v>
      </c>
      <c r="H53" s="95">
        <f>ROUND(TruckeeDonner!H$16,0)</f>
        <v>49183</v>
      </c>
      <c r="I53" s="95">
        <f>ROUND(TruckeeDonner!I$16,0)</f>
        <v>48183</v>
      </c>
      <c r="J53" s="95">
        <f>ROUND(TruckeeDonner!J$16,0)</f>
        <v>47850</v>
      </c>
      <c r="K53" s="95">
        <f>ROUND(TruckeeDonner!K$16,0)</f>
        <v>46820</v>
      </c>
    </row>
    <row r="54" spans="1:11" ht="39.6" x14ac:dyDescent="0.25">
      <c r="A54" s="94" t="s">
        <v>33</v>
      </c>
      <c r="B54" s="95">
        <f>ROUND(TurlockID!B$16,0)</f>
        <v>447309</v>
      </c>
      <c r="C54" s="95">
        <f>ROUND(TurlockID!C$16,0)</f>
        <v>446613</v>
      </c>
      <c r="D54" s="95">
        <f>ROUND(TurlockID!D$16,0)</f>
        <v>437740</v>
      </c>
      <c r="E54" s="95">
        <f>ROUND(TurlockID!E$16,0)</f>
        <v>427721</v>
      </c>
      <c r="F54" s="95">
        <f>ROUND(TurlockID!F$16,0)</f>
        <v>415607</v>
      </c>
      <c r="G54" s="95">
        <f>ROUND(TurlockID!G$16,0)</f>
        <v>413210</v>
      </c>
      <c r="H54" s="95">
        <f>ROUND(TurlockID!H$16,0)</f>
        <v>395766</v>
      </c>
      <c r="I54" s="95">
        <f>ROUND(TurlockID!I$16,0)</f>
        <v>384284</v>
      </c>
      <c r="J54" s="95">
        <f>ROUND(TurlockID!J$16,0)</f>
        <v>381645</v>
      </c>
      <c r="K54" s="95">
        <f>ROUND(TurlockID!K$16,0)</f>
        <v>369576</v>
      </c>
    </row>
    <row r="55" spans="1:11" ht="39.6" x14ac:dyDescent="0.25">
      <c r="A55" s="94" t="s">
        <v>30</v>
      </c>
      <c r="B55" s="95">
        <f>ROUND(ValleyElectric!B$16,0)</f>
        <v>3162</v>
      </c>
      <c r="C55" s="95">
        <f>ROUND(ValleyElectric!C$16,0)</f>
        <v>3114</v>
      </c>
      <c r="D55" s="95">
        <f>ROUND(ValleyElectric!D$16,0)</f>
        <v>2875</v>
      </c>
      <c r="E55" s="95">
        <f>ROUND(ValleyElectric!E$16,0)</f>
        <v>2770</v>
      </c>
      <c r="F55" s="95">
        <f>ROUND(ValleyElectric!F$16,0)</f>
        <v>3101</v>
      </c>
      <c r="G55" s="95">
        <f>ROUND(ValleyElectric!G$16,0)</f>
        <v>3049</v>
      </c>
      <c r="H55" s="95">
        <f>ROUND(ValleyElectric!H$16,0)</f>
        <v>2847</v>
      </c>
      <c r="I55" s="95">
        <f>ROUND(ValleyElectric!I$16,0)</f>
        <v>2789</v>
      </c>
      <c r="J55" s="95">
        <f>ROUND(ValleyElectric!J$16,0)</f>
        <v>2782</v>
      </c>
      <c r="K55" s="95">
        <f>ROUND(ValleyElectric!K$16,0)</f>
        <v>2719</v>
      </c>
    </row>
    <row r="56" spans="1:11" ht="26.4" x14ac:dyDescent="0.25">
      <c r="A56" s="94" t="s">
        <v>27</v>
      </c>
      <c r="B56" s="95">
        <f>ROUND(WAPA!B$16,0)</f>
        <v>224481</v>
      </c>
      <c r="C56" s="95">
        <f>ROUND(WAPA!C$16,0)</f>
        <v>220784</v>
      </c>
      <c r="D56" s="95">
        <f>ROUND(WAPA!D$16,0)</f>
        <v>208828</v>
      </c>
      <c r="E56" s="95">
        <f>ROUND(WAPA!E$16,0)</f>
        <v>194591</v>
      </c>
      <c r="F56" s="95">
        <f>ROUND(WAPA!F$16,0)</f>
        <v>180305</v>
      </c>
      <c r="G56" s="95">
        <f>ROUND(WAPA!G$16,0)</f>
        <v>174523</v>
      </c>
      <c r="H56" s="95">
        <f>ROUND(WAPA!H$16,0)</f>
        <v>156853</v>
      </c>
      <c r="I56" s="95">
        <f>ROUND(WAPA!I$16,0)</f>
        <v>142228</v>
      </c>
      <c r="J56" s="95">
        <f>ROUND(WAPA!J$16,0)</f>
        <v>136488</v>
      </c>
      <c r="K56" s="95">
        <f>ROUND(WAPA!K$16,0)</f>
        <v>121550</v>
      </c>
    </row>
  </sheetData>
  <sortState ref="A5:N58">
    <sortCondition ref="A5:A58"/>
  </sortState>
  <mergeCells count="2">
    <mergeCell ref="B1:K1"/>
    <mergeCell ref="A1:A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zoomScaleNormal="100" workbookViewId="0"/>
  </sheetViews>
  <sheetFormatPr defaultRowHeight="14.4" x14ac:dyDescent="0.3"/>
  <cols>
    <col min="1" max="1" width="37.6640625" customWidth="1"/>
    <col min="12" max="12" width="49.33203125" customWidth="1"/>
    <col min="15" max="15" width="54.6640625" bestFit="1" customWidth="1"/>
  </cols>
  <sheetData>
    <row r="1" spans="1:15" s="58" customFormat="1" x14ac:dyDescent="0.3">
      <c r="A1" s="97" t="s">
        <v>180</v>
      </c>
      <c r="B1" s="199" t="s">
        <v>173</v>
      </c>
      <c r="C1" s="200"/>
      <c r="D1" s="200"/>
      <c r="E1" s="200"/>
      <c r="F1" s="200"/>
      <c r="G1" s="200"/>
      <c r="H1" s="200"/>
      <c r="I1" s="200"/>
      <c r="J1" s="200"/>
      <c r="K1" s="200"/>
      <c r="L1" s="201"/>
      <c r="N1" s="202" t="s">
        <v>193</v>
      </c>
      <c r="O1" s="203"/>
    </row>
    <row r="2" spans="1:15" s="58" customFormat="1" ht="15.6" x14ac:dyDescent="0.35">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369</v>
      </c>
    </row>
    <row r="3" spans="1:15" s="58" customFormat="1" ht="72.599999999999994" x14ac:dyDescent="0.35">
      <c r="A3" s="99" t="s">
        <v>166</v>
      </c>
      <c r="B3" s="61">
        <v>138970.86237059601</v>
      </c>
      <c r="C3" s="61">
        <v>139085.92314055419</v>
      </c>
      <c r="D3" s="61">
        <v>139330.82325310633</v>
      </c>
      <c r="E3" s="61">
        <v>139512.67200000002</v>
      </c>
      <c r="F3" s="61">
        <v>139810.77599999998</v>
      </c>
      <c r="G3" s="61">
        <v>140108.88</v>
      </c>
      <c r="H3" s="65">
        <f>AVERAGE(E3:G3)*(1+$N$8)</f>
        <v>140380.38240771191</v>
      </c>
      <c r="I3" s="65">
        <f t="shared" ref="I3:K4" si="0">H3*(1+$N$8)</f>
        <v>140952.30946243682</v>
      </c>
      <c r="J3" s="65">
        <f t="shared" si="0"/>
        <v>141526.5666187779</v>
      </c>
      <c r="K3" s="65">
        <f t="shared" si="0"/>
        <v>142103.16336985756</v>
      </c>
      <c r="L3" s="84" t="s">
        <v>254</v>
      </c>
      <c r="N3" s="62">
        <v>0.91839999999999999</v>
      </c>
      <c r="O3" s="8" t="s">
        <v>199</v>
      </c>
    </row>
    <row r="4" spans="1:15" s="58" customFormat="1" ht="57.6" x14ac:dyDescent="0.3">
      <c r="A4" s="99" t="s">
        <v>167</v>
      </c>
      <c r="B4" s="61">
        <f>SUMIFS('Form 1.1c'!J:J, 'Form 1.1c'!$B:$B, "City of Lompoc")*1000</f>
        <v>138000</v>
      </c>
      <c r="C4" s="61">
        <f>SUMIFS('Form 1.1c'!K:K, 'Form 1.1c'!$B:$B, "City of Lompoc")*1000</f>
        <v>139000</v>
      </c>
      <c r="D4" s="61">
        <f>SUMIFS('Form 1.1c'!L:L, 'Form 1.1c'!$B:$B, "City of Lompoc")*1000</f>
        <v>140000</v>
      </c>
      <c r="E4" s="61">
        <f>SUMIFS('Form 1.1c'!M:M, 'Form 1.1c'!$B:$B, "City of Lompoc")*1000</f>
        <v>140000</v>
      </c>
      <c r="F4" s="61">
        <f>SUMIFS('Form 1.1c'!N:N, 'Form 1.1c'!$B:$B, "City of Lompoc")*1000</f>
        <v>141000</v>
      </c>
      <c r="G4" s="61">
        <f>SUMIFS('Form 1.1c'!O:O, 'Form 1.1c'!$B:$B, "City of Lompoc")*1000</f>
        <v>141000</v>
      </c>
      <c r="H4" s="65">
        <f>AVERAGE(E4:G4)*(1+$N$8)</f>
        <v>141239.76007889985</v>
      </c>
      <c r="I4" s="61">
        <f t="shared" si="0"/>
        <v>141815.18834463408</v>
      </c>
      <c r="J4" s="61">
        <f t="shared" si="0"/>
        <v>142392.96097635152</v>
      </c>
      <c r="K4" s="61">
        <f t="shared" si="0"/>
        <v>142973.08752528939</v>
      </c>
      <c r="L4" s="84" t="s">
        <v>211</v>
      </c>
      <c r="N4" s="68">
        <f>0.15</f>
        <v>0.15</v>
      </c>
      <c r="O4" s="59" t="s">
        <v>165</v>
      </c>
    </row>
    <row r="5" spans="1:15" s="58" customFormat="1" ht="28.8" x14ac:dyDescent="0.3">
      <c r="A5" s="99" t="s">
        <v>191</v>
      </c>
      <c r="B5" s="61">
        <f t="shared" ref="B5:E5" si="1">IF(0&lt;($F$3-$F$4)/$F$3,B4,B3*(1-$N$5))</f>
        <v>129242.90200465427</v>
      </c>
      <c r="C5" s="61">
        <f t="shared" si="1"/>
        <v>129349.9085207154</v>
      </c>
      <c r="D5" s="61">
        <f t="shared" si="1"/>
        <v>129577.66562538888</v>
      </c>
      <c r="E5" s="61">
        <f t="shared" si="1"/>
        <v>129746.78496</v>
      </c>
      <c r="F5" s="61">
        <f>IF(0&lt;($F$3-$F$4)/$F$3,F4,F3*(1-$N$5))</f>
        <v>130024.02167999998</v>
      </c>
      <c r="G5" s="61">
        <f t="shared" ref="G5:K5" si="2">IF(0&lt;($F$3-$F$4)/$F$3,G4,G3*(1-$N$5))</f>
        <v>130301.25839999999</v>
      </c>
      <c r="H5" s="61">
        <f t="shared" si="2"/>
        <v>130553.75563917206</v>
      </c>
      <c r="I5" s="61">
        <f t="shared" si="2"/>
        <v>131085.64780006625</v>
      </c>
      <c r="J5" s="61">
        <f t="shared" si="2"/>
        <v>131619.70695546345</v>
      </c>
      <c r="K5" s="61">
        <f t="shared" si="2"/>
        <v>132155.94193396752</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16677</v>
      </c>
      <c r="C8" s="61">
        <v>16783</v>
      </c>
      <c r="D8" s="61">
        <v>16782</v>
      </c>
      <c r="E8" s="61">
        <v>16793</v>
      </c>
      <c r="F8" s="61">
        <v>16820.999999999996</v>
      </c>
      <c r="G8" s="61">
        <v>16805</v>
      </c>
      <c r="H8" s="65">
        <f>AVERAGE(E8:G8)</f>
        <v>16806.333333333332</v>
      </c>
      <c r="I8" s="65">
        <f t="shared" ref="I8:K8" si="3">H8</f>
        <v>16806.333333333332</v>
      </c>
      <c r="J8" s="65">
        <f t="shared" si="3"/>
        <v>16806.333333333332</v>
      </c>
      <c r="K8" s="65">
        <f t="shared" si="3"/>
        <v>16806.333333333332</v>
      </c>
      <c r="L8" s="84" t="s">
        <v>244</v>
      </c>
      <c r="N8" s="64">
        <v>4.0741237836483535E-3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 t="shared" ref="B10:K10" si="4">B5*B9</f>
        <v>38772.87060139628</v>
      </c>
      <c r="C10" s="61">
        <f t="shared" si="4"/>
        <v>40098.471641421776</v>
      </c>
      <c r="D10" s="61">
        <f t="shared" si="4"/>
        <v>42760.629656378333</v>
      </c>
      <c r="E10" s="61">
        <f t="shared" si="4"/>
        <v>45411.374735999998</v>
      </c>
      <c r="F10" s="61">
        <f t="shared" si="4"/>
        <v>48108.888021599989</v>
      </c>
      <c r="G10" s="61">
        <f t="shared" si="4"/>
        <v>49514.478191999995</v>
      </c>
      <c r="H10" s="61">
        <f t="shared" si="4"/>
        <v>52221.502255668827</v>
      </c>
      <c r="I10" s="61">
        <f t="shared" si="4"/>
        <v>55055.972076027821</v>
      </c>
      <c r="J10" s="61">
        <f t="shared" si="4"/>
        <v>56596.473990849285</v>
      </c>
      <c r="K10" s="61">
        <f t="shared" si="4"/>
        <v>59470.173870285384</v>
      </c>
      <c r="L10" s="84" t="s">
        <v>376</v>
      </c>
      <c r="N10" s="122"/>
      <c r="O10" s="60"/>
    </row>
    <row r="11" spans="1:15" s="58" customFormat="1" ht="28.8" x14ac:dyDescent="0.3">
      <c r="A11" s="99" t="s">
        <v>172</v>
      </c>
      <c r="B11" s="61">
        <f t="shared" ref="B11:K11" si="5">MAX(B3-SUM(B6:B8,B10), B3*$N$6)</f>
        <v>83520.991769199725</v>
      </c>
      <c r="C11" s="61">
        <f t="shared" si="5"/>
        <v>82204.45149913241</v>
      </c>
      <c r="D11" s="61">
        <f t="shared" si="5"/>
        <v>79788.193596728001</v>
      </c>
      <c r="E11" s="61">
        <f t="shared" si="5"/>
        <v>77308.297264000023</v>
      </c>
      <c r="F11" s="61">
        <f t="shared" si="5"/>
        <v>74880.887978400002</v>
      </c>
      <c r="G11" s="61">
        <f t="shared" si="5"/>
        <v>73789.40180800001</v>
      </c>
      <c r="H11" s="61">
        <f t="shared" si="5"/>
        <v>71352.546818709743</v>
      </c>
      <c r="I11" s="61">
        <f t="shared" si="5"/>
        <v>69090.004053075667</v>
      </c>
      <c r="J11" s="61">
        <f t="shared" si="5"/>
        <v>68123.759294595278</v>
      </c>
      <c r="K11" s="61">
        <f t="shared" si="5"/>
        <v>65826.656166238841</v>
      </c>
      <c r="L11" s="84" t="s">
        <v>203</v>
      </c>
    </row>
    <row r="12" spans="1:15" s="58" customFormat="1" ht="43.8" x14ac:dyDescent="0.35">
      <c r="A12" s="99" t="s">
        <v>194</v>
      </c>
      <c r="B12" s="61">
        <f t="shared" ref="B12:K12" si="6">B6*$N$3+B11*$N$2</f>
        <v>36365.03981630956</v>
      </c>
      <c r="C12" s="61">
        <f t="shared" si="6"/>
        <v>35791.818182722251</v>
      </c>
      <c r="D12" s="61">
        <f t="shared" si="6"/>
        <v>34739.779492015376</v>
      </c>
      <c r="E12" s="61">
        <f t="shared" si="6"/>
        <v>33660.032628745612</v>
      </c>
      <c r="F12" s="61">
        <f t="shared" si="6"/>
        <v>32603.13862579536</v>
      </c>
      <c r="G12" s="61">
        <f t="shared" si="6"/>
        <v>32127.905547203205</v>
      </c>
      <c r="H12" s="61">
        <f t="shared" si="6"/>
        <v>31066.898884866223</v>
      </c>
      <c r="I12" s="61">
        <f t="shared" si="6"/>
        <v>30081.787764709145</v>
      </c>
      <c r="J12" s="61">
        <f t="shared" si="6"/>
        <v>29661.084796866784</v>
      </c>
      <c r="K12" s="61">
        <f t="shared" si="6"/>
        <v>28660.926094780392</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7">B12/B3</f>
        <v>0.26167384440152841</v>
      </c>
      <c r="C14" s="80">
        <f t="shared" si="7"/>
        <v>0.25733602203979045</v>
      </c>
      <c r="D14" s="80">
        <f t="shared" si="7"/>
        <v>0.24933305266493402</v>
      </c>
      <c r="E14" s="80">
        <f t="shared" si="7"/>
        <v>0.24126863994652475</v>
      </c>
      <c r="F14" s="80">
        <f t="shared" si="7"/>
        <v>0.23319474763372577</v>
      </c>
      <c r="G14" s="80">
        <f t="shared" si="7"/>
        <v>0.22930670452296245</v>
      </c>
      <c r="H14" s="80">
        <f t="shared" si="7"/>
        <v>0.22130513075991975</v>
      </c>
      <c r="I14" s="80">
        <f t="shared" si="7"/>
        <v>0.21341819711528606</v>
      </c>
      <c r="J14" s="80">
        <f t="shared" si="7"/>
        <v>0.20957962526401966</v>
      </c>
      <c r="K14" s="80">
        <f t="shared" si="7"/>
        <v>0.20169097868837346</v>
      </c>
      <c r="L14" s="84" t="s">
        <v>206</v>
      </c>
    </row>
    <row r="15" spans="1:15" s="58" customFormat="1" ht="30.6" thickBot="1" x14ac:dyDescent="0.4">
      <c r="A15" s="99" t="s">
        <v>196</v>
      </c>
      <c r="B15" s="79">
        <f>$K$13*B14</f>
        <v>0</v>
      </c>
      <c r="C15" s="79">
        <f t="shared" ref="C15:K15" si="8">$K$13*C14</f>
        <v>0</v>
      </c>
      <c r="D15" s="79">
        <f t="shared" si="8"/>
        <v>0</v>
      </c>
      <c r="E15" s="79">
        <f t="shared" si="8"/>
        <v>0</v>
      </c>
      <c r="F15" s="79">
        <f t="shared" si="8"/>
        <v>0</v>
      </c>
      <c r="G15" s="79">
        <f t="shared" si="8"/>
        <v>0</v>
      </c>
      <c r="H15" s="79">
        <f t="shared" si="8"/>
        <v>0</v>
      </c>
      <c r="I15" s="79">
        <f t="shared" si="8"/>
        <v>0</v>
      </c>
      <c r="J15" s="79">
        <f t="shared" si="8"/>
        <v>0</v>
      </c>
      <c r="K15" s="79">
        <f t="shared" si="8"/>
        <v>0</v>
      </c>
      <c r="L15" s="84" t="s">
        <v>250</v>
      </c>
    </row>
    <row r="16" spans="1:15" ht="29.4" thickBot="1" x14ac:dyDescent="0.35">
      <c r="A16" s="179" t="s">
        <v>197</v>
      </c>
      <c r="B16" s="81">
        <f t="shared" ref="B16:K16" si="9">B12-B15</f>
        <v>36365.03981630956</v>
      </c>
      <c r="C16" s="81">
        <f t="shared" si="9"/>
        <v>35791.818182722251</v>
      </c>
      <c r="D16" s="81">
        <f t="shared" si="9"/>
        <v>34739.779492015376</v>
      </c>
      <c r="E16" s="81">
        <f t="shared" si="9"/>
        <v>33660.032628745612</v>
      </c>
      <c r="F16" s="81">
        <f t="shared" si="9"/>
        <v>32603.13862579536</v>
      </c>
      <c r="G16" s="81">
        <f t="shared" si="9"/>
        <v>32127.905547203205</v>
      </c>
      <c r="H16" s="81">
        <f t="shared" si="9"/>
        <v>31066.898884866223</v>
      </c>
      <c r="I16" s="81">
        <f t="shared" si="9"/>
        <v>30081.787764709145</v>
      </c>
      <c r="J16" s="81">
        <f t="shared" si="9"/>
        <v>29661.084796866784</v>
      </c>
      <c r="K16" s="81">
        <f t="shared" si="9"/>
        <v>28660.926094780392</v>
      </c>
      <c r="L16" s="88" t="s">
        <v>265</v>
      </c>
      <c r="M16" s="58"/>
      <c r="N16" s="58"/>
      <c r="O16" s="58"/>
    </row>
    <row r="17" spans="1:15" x14ac:dyDescent="0.3">
      <c r="A17" s="82"/>
      <c r="B17" s="82"/>
      <c r="C17" s="82"/>
      <c r="D17" s="82"/>
      <c r="E17" s="82"/>
      <c r="F17" s="82"/>
      <c r="G17" s="82"/>
      <c r="H17" s="82"/>
      <c r="I17" s="82"/>
      <c r="J17" s="82"/>
      <c r="K17" s="82"/>
      <c r="L17" s="58"/>
      <c r="M17" s="58"/>
      <c r="N17" s="58"/>
      <c r="O17" s="58"/>
    </row>
    <row r="18" spans="1:15" ht="15.6" x14ac:dyDescent="0.3">
      <c r="A18" s="82"/>
      <c r="B18" s="82"/>
      <c r="C18" s="82"/>
      <c r="D18" s="82"/>
      <c r="E18" s="82"/>
      <c r="F18" s="82"/>
      <c r="G18" s="82"/>
      <c r="H18" s="82"/>
      <c r="I18" s="82"/>
      <c r="J18" s="82"/>
      <c r="K18" s="82"/>
      <c r="L18" s="58"/>
      <c r="M18" s="58"/>
      <c r="O18" s="3"/>
    </row>
  </sheetData>
  <mergeCells count="3">
    <mergeCell ref="B1:L1"/>
    <mergeCell ref="N1:O1"/>
    <mergeCell ref="B13:J1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181</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151151.33102599235</v>
      </c>
      <c r="C3" s="65">
        <f>B3*(1+$N$8)</f>
        <v>151771.99626333045</v>
      </c>
      <c r="D3" s="65">
        <f>C3*(1+$N$8)</f>
        <v>152395.21010764557</v>
      </c>
      <c r="E3" s="65">
        <f>D3*(1+$N$8)</f>
        <v>153020.98302415654</v>
      </c>
      <c r="F3" s="65">
        <f>E3*(1+$N$8)</f>
        <v>153649.325521055</v>
      </c>
      <c r="G3" s="65">
        <f>F3*(1+$N$8)</f>
        <v>154280.24814968184</v>
      </c>
      <c r="H3" s="65">
        <f t="shared" ref="H3:K4" si="0">G3*(1+$N$8)</f>
        <v>154913.76150470439</v>
      </c>
      <c r="I3" s="65">
        <f t="shared" si="0"/>
        <v>155549.87622429439</v>
      </c>
      <c r="J3" s="65">
        <f t="shared" si="0"/>
        <v>156188.60299030654</v>
      </c>
      <c r="K3" s="65">
        <f t="shared" si="0"/>
        <v>156829.95252845791</v>
      </c>
      <c r="L3" s="84" t="s">
        <v>210</v>
      </c>
      <c r="N3" s="62">
        <v>0.91839999999999999</v>
      </c>
      <c r="O3" s="8" t="s">
        <v>199</v>
      </c>
    </row>
    <row r="4" spans="1:18" s="58" customFormat="1" ht="57.6" x14ac:dyDescent="0.3">
      <c r="A4" s="99" t="s">
        <v>167</v>
      </c>
      <c r="B4" s="61">
        <f>SUMIFS('Form 1.1c'!J:J, 'Form 1.1c'!$B:$B, "Moreno Valley Utilities")*1000</f>
        <v>158000</v>
      </c>
      <c r="C4" s="61">
        <f>SUMIFS('Form 1.1c'!K:K, 'Form 1.1c'!$B:$B, "Moreno Valley Utilities")*1000</f>
        <v>159000</v>
      </c>
      <c r="D4" s="61">
        <f>SUMIFS('Form 1.1c'!L:L, 'Form 1.1c'!$B:$B, "Moreno Valley Utilities")*1000</f>
        <v>160000</v>
      </c>
      <c r="E4" s="61">
        <f>SUMIFS('Form 1.1c'!M:M, 'Form 1.1c'!$B:$B, "Moreno Valley Utilities")*1000</f>
        <v>160000</v>
      </c>
      <c r="F4" s="61">
        <f>SUMIFS('Form 1.1c'!N:N, 'Form 1.1c'!$B:$B, "Moreno Valley Utilities")*1000</f>
        <v>161000</v>
      </c>
      <c r="G4" s="61">
        <f>SUMIFS('Form 1.1c'!O:O, 'Form 1.1c'!$B:$B, "Moreno Valley Utilities")*1000</f>
        <v>161000</v>
      </c>
      <c r="H4" s="65">
        <f>AVERAGE(E4:G4)*(1+$N$8)</f>
        <v>161326.40425628694</v>
      </c>
      <c r="I4" s="61">
        <f t="shared" si="0"/>
        <v>161988.85089375262</v>
      </c>
      <c r="J4" s="61">
        <f t="shared" si="0"/>
        <v>162654.01770309292</v>
      </c>
      <c r="K4" s="61">
        <f t="shared" si="0"/>
        <v>163321.9158540151</v>
      </c>
      <c r="L4" s="84" t="s">
        <v>211</v>
      </c>
      <c r="N4" s="68">
        <f>0.15</f>
        <v>0.15</v>
      </c>
      <c r="O4" s="84" t="s">
        <v>165</v>
      </c>
    </row>
    <row r="5" spans="1:18" s="58" customFormat="1" ht="28.8" x14ac:dyDescent="0.3">
      <c r="A5" s="99" t="s">
        <v>191</v>
      </c>
      <c r="B5" s="61">
        <f>IF(0&lt;(B3-B4)/B3,B4,B3*(1-$N$5))</f>
        <v>140570.73785417288</v>
      </c>
      <c r="C5" s="61">
        <f t="shared" ref="C5:K5" si="1">IF(0&lt;(C3-C4)/C3,C4,C3*(1-$N$5))</f>
        <v>141147.95652489731</v>
      </c>
      <c r="D5" s="61">
        <f t="shared" si="1"/>
        <v>141727.54540011036</v>
      </c>
      <c r="E5" s="61">
        <f t="shared" si="1"/>
        <v>142309.51421246558</v>
      </c>
      <c r="F5" s="61">
        <f t="shared" si="1"/>
        <v>142893.87273458115</v>
      </c>
      <c r="G5" s="61">
        <f t="shared" si="1"/>
        <v>143480.6307792041</v>
      </c>
      <c r="H5" s="61">
        <f t="shared" si="1"/>
        <v>144069.79819937507</v>
      </c>
      <c r="I5" s="61">
        <f t="shared" si="1"/>
        <v>144661.38488859378</v>
      </c>
      <c r="J5" s="61">
        <f t="shared" si="1"/>
        <v>145255.40078098507</v>
      </c>
      <c r="K5" s="61">
        <f t="shared" si="1"/>
        <v>145851.85585146584</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42171.221356251866</v>
      </c>
      <c r="C10" s="61">
        <f t="shared" ref="C10:K10" si="2">C5*C9</f>
        <v>43755.866522718163</v>
      </c>
      <c r="D10" s="61">
        <f t="shared" si="2"/>
        <v>46770.089982036421</v>
      </c>
      <c r="E10" s="61">
        <f t="shared" si="2"/>
        <v>49808.329974362954</v>
      </c>
      <c r="F10" s="61">
        <f t="shared" si="2"/>
        <v>52870.732911795021</v>
      </c>
      <c r="G10" s="61">
        <f t="shared" si="2"/>
        <v>54522.639696097562</v>
      </c>
      <c r="H10" s="61">
        <f t="shared" si="2"/>
        <v>57627.919279750029</v>
      </c>
      <c r="I10" s="61">
        <f t="shared" si="2"/>
        <v>60757.781653209386</v>
      </c>
      <c r="J10" s="61">
        <f t="shared" si="2"/>
        <v>62459.822335823577</v>
      </c>
      <c r="K10" s="61">
        <f t="shared" si="2"/>
        <v>65633.335133159635</v>
      </c>
      <c r="L10" s="84" t="s">
        <v>376</v>
      </c>
      <c r="N10" s="122"/>
      <c r="O10" s="60"/>
    </row>
    <row r="11" spans="1:18" s="58" customFormat="1" ht="28.8" x14ac:dyDescent="0.3">
      <c r="A11" s="99" t="s">
        <v>172</v>
      </c>
      <c r="B11" s="61">
        <f t="shared" ref="B11:K11" si="3">MAX(B3-SUM(B6:B8,B10), B3*$N$6)</f>
        <v>108980.10966974049</v>
      </c>
      <c r="C11" s="61">
        <f t="shared" si="3"/>
        <v>108016.12974061229</v>
      </c>
      <c r="D11" s="61">
        <f t="shared" si="3"/>
        <v>105625.12012560916</v>
      </c>
      <c r="E11" s="61">
        <f t="shared" si="3"/>
        <v>103212.65304979359</v>
      </c>
      <c r="F11" s="61">
        <f t="shared" si="3"/>
        <v>100778.59260925997</v>
      </c>
      <c r="G11" s="61">
        <f t="shared" si="3"/>
        <v>99757.608453584282</v>
      </c>
      <c r="H11" s="61">
        <f t="shared" si="3"/>
        <v>97285.842224954366</v>
      </c>
      <c r="I11" s="61">
        <f t="shared" si="3"/>
        <v>94792.094571085006</v>
      </c>
      <c r="J11" s="61">
        <f t="shared" si="3"/>
        <v>93728.780654482951</v>
      </c>
      <c r="K11" s="61">
        <f t="shared" si="3"/>
        <v>91196.617395298279</v>
      </c>
      <c r="L11" s="84" t="s">
        <v>203</v>
      </c>
    </row>
    <row r="12" spans="1:18" s="58" customFormat="1" ht="43.8" x14ac:dyDescent="0.35">
      <c r="A12" s="99" t="s">
        <v>194</v>
      </c>
      <c r="B12" s="61">
        <f t="shared" ref="B12:K12" si="4">B6*$N$3+B11*$N$2</f>
        <v>47449.939750205012</v>
      </c>
      <c r="C12" s="61">
        <f t="shared" si="4"/>
        <v>47030.222889062592</v>
      </c>
      <c r="D12" s="61">
        <f t="shared" si="4"/>
        <v>45989.17730269023</v>
      </c>
      <c r="E12" s="61">
        <f t="shared" si="4"/>
        <v>44938.789137880129</v>
      </c>
      <c r="F12" s="61">
        <f t="shared" si="4"/>
        <v>43878.99922207179</v>
      </c>
      <c r="G12" s="61">
        <f t="shared" si="4"/>
        <v>43434.462720690601</v>
      </c>
      <c r="H12" s="61">
        <f t="shared" si="4"/>
        <v>42358.255704745134</v>
      </c>
      <c r="I12" s="61">
        <f t="shared" si="4"/>
        <v>41272.477976250411</v>
      </c>
      <c r="J12" s="61">
        <f t="shared" si="4"/>
        <v>40809.511096961876</v>
      </c>
      <c r="K12" s="61">
        <f t="shared" si="4"/>
        <v>39707.007213912875</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5">B12/B3</f>
        <v>0.31392340000000002</v>
      </c>
      <c r="C14" s="80">
        <f t="shared" si="5"/>
        <v>0.30987418</v>
      </c>
      <c r="D14" s="80">
        <f t="shared" si="5"/>
        <v>0.30177574000000007</v>
      </c>
      <c r="E14" s="80">
        <f t="shared" si="5"/>
        <v>0.29367730000000003</v>
      </c>
      <c r="F14" s="80">
        <f t="shared" si="5"/>
        <v>0.28557885999999999</v>
      </c>
      <c r="G14" s="80">
        <f t="shared" si="5"/>
        <v>0.28152964000000003</v>
      </c>
      <c r="H14" s="80">
        <f t="shared" si="5"/>
        <v>0.27343120000000004</v>
      </c>
      <c r="I14" s="80">
        <f t="shared" si="5"/>
        <v>0.26533276</v>
      </c>
      <c r="J14" s="80">
        <f t="shared" si="5"/>
        <v>0.26128353999999998</v>
      </c>
      <c r="K14" s="80">
        <f t="shared" si="5"/>
        <v>0.25318510000000005</v>
      </c>
      <c r="L14" s="84" t="s">
        <v>206</v>
      </c>
    </row>
    <row r="15" spans="1:18" s="58" customFormat="1" ht="30.6" thickBot="1" x14ac:dyDescent="0.4">
      <c r="A15" s="99" t="s">
        <v>196</v>
      </c>
      <c r="B15" s="79">
        <f>$K$13*B14</f>
        <v>0</v>
      </c>
      <c r="C15" s="79">
        <f t="shared" ref="C15:K15" si="6">$K$13*C14</f>
        <v>0</v>
      </c>
      <c r="D15" s="79">
        <f t="shared" si="6"/>
        <v>0</v>
      </c>
      <c r="E15" s="79">
        <f t="shared" si="6"/>
        <v>0</v>
      </c>
      <c r="F15" s="79">
        <f t="shared" si="6"/>
        <v>0</v>
      </c>
      <c r="G15" s="79">
        <f t="shared" si="6"/>
        <v>0</v>
      </c>
      <c r="H15" s="79">
        <f t="shared" si="6"/>
        <v>0</v>
      </c>
      <c r="I15" s="79">
        <f t="shared" si="6"/>
        <v>0</v>
      </c>
      <c r="J15" s="79">
        <f t="shared" si="6"/>
        <v>0</v>
      </c>
      <c r="K15" s="79">
        <f t="shared" si="6"/>
        <v>0</v>
      </c>
      <c r="L15" s="84" t="s">
        <v>250</v>
      </c>
    </row>
    <row r="16" spans="1:18" ht="29.4" thickBot="1" x14ac:dyDescent="0.35">
      <c r="A16" s="179" t="s">
        <v>197</v>
      </c>
      <c r="B16" s="81">
        <f t="shared" ref="B16:K16" si="7">B12-B15</f>
        <v>47449.939750205012</v>
      </c>
      <c r="C16" s="81">
        <f t="shared" si="7"/>
        <v>47030.222889062592</v>
      </c>
      <c r="D16" s="81">
        <f t="shared" si="7"/>
        <v>45989.17730269023</v>
      </c>
      <c r="E16" s="81">
        <f t="shared" si="7"/>
        <v>44938.789137880129</v>
      </c>
      <c r="F16" s="81">
        <f t="shared" si="7"/>
        <v>43878.99922207179</v>
      </c>
      <c r="G16" s="81">
        <f t="shared" si="7"/>
        <v>43434.462720690601</v>
      </c>
      <c r="H16" s="81">
        <f t="shared" si="7"/>
        <v>42358.255704745134</v>
      </c>
      <c r="I16" s="81">
        <f t="shared" si="7"/>
        <v>41272.477976250411</v>
      </c>
      <c r="J16" s="81">
        <f t="shared" si="7"/>
        <v>40809.511096961876</v>
      </c>
      <c r="K16" s="81">
        <f t="shared" si="7"/>
        <v>39707.007213912875</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3" max="13" width="5.6640625" bestFit="1" customWidth="1"/>
    <col min="14" max="14" width="8.6640625" customWidth="1"/>
    <col min="15" max="15" width="34.109375" customWidth="1"/>
  </cols>
  <sheetData>
    <row r="1" spans="1:18" s="58" customFormat="1" ht="15.6" x14ac:dyDescent="0.3">
      <c r="A1" s="97" t="s">
        <v>20</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62469.428420464108</v>
      </c>
      <c r="C3" s="65">
        <f t="shared" ref="C3:K4" si="0">B3*(1+$N$8)</f>
        <v>62949.191753204621</v>
      </c>
      <c r="D3" s="65">
        <f t="shared" si="0"/>
        <v>63432.639653921215</v>
      </c>
      <c r="E3" s="65">
        <f t="shared" si="0"/>
        <v>63919.800419985208</v>
      </c>
      <c r="F3" s="65">
        <f t="shared" si="0"/>
        <v>64410.702566090877</v>
      </c>
      <c r="G3" s="65">
        <f t="shared" si="0"/>
        <v>64905.374825924497</v>
      </c>
      <c r="H3" s="65">
        <f t="shared" si="0"/>
        <v>65403.846153846185</v>
      </c>
      <c r="I3" s="65">
        <f t="shared" si="0"/>
        <v>65906.145726584684</v>
      </c>
      <c r="J3" s="65">
        <f t="shared" si="0"/>
        <v>66412.302944945113</v>
      </c>
      <c r="K3" s="65">
        <f t="shared" si="0"/>
        <v>66922.347435529911</v>
      </c>
      <c r="L3" s="84" t="s">
        <v>210</v>
      </c>
      <c r="N3" s="62">
        <v>0.91839999999999999</v>
      </c>
      <c r="O3" s="8" t="s">
        <v>199</v>
      </c>
    </row>
    <row r="4" spans="1:18" s="58" customFormat="1" ht="57.6" x14ac:dyDescent="0.3">
      <c r="A4" s="99" t="s">
        <v>167</v>
      </c>
      <c r="B4" s="61">
        <f>SUMIFS('Form 1.1c'!J:J, 'Form 1.1c'!$B:$B, "City of Needles")*1000</f>
        <v>55000</v>
      </c>
      <c r="C4" s="61">
        <f>SUMIFS('Form 1.1c'!K:K, 'Form 1.1c'!$B:$B, "City of Needles")*1000</f>
        <v>56000</v>
      </c>
      <c r="D4" s="61">
        <f>SUMIFS('Form 1.1c'!L:L, 'Form 1.1c'!$B:$B, "City of Needles")*1000</f>
        <v>56000</v>
      </c>
      <c r="E4" s="61">
        <f>SUMIFS('Form 1.1c'!M:M, 'Form 1.1c'!$B:$B, "City of Needles")*1000</f>
        <v>57000</v>
      </c>
      <c r="F4" s="61">
        <f>SUMIFS('Form 1.1c'!N:N, 'Form 1.1c'!$B:$B, "City of Needles")*1000</f>
        <v>57000</v>
      </c>
      <c r="G4" s="61">
        <f>SUMIFS('Form 1.1c'!O:O, 'Form 1.1c'!$B:$B, "City of Needles")*1000</f>
        <v>57000</v>
      </c>
      <c r="H4" s="65">
        <f>AVERAGE(E4:G4)*(1+$N$8)</f>
        <v>57437.758286855889</v>
      </c>
      <c r="I4" s="61">
        <f t="shared" si="0"/>
        <v>57878.878544197942</v>
      </c>
      <c r="J4" s="61">
        <f t="shared" si="0"/>
        <v>58323.386591858442</v>
      </c>
      <c r="K4" s="61">
        <f t="shared" si="0"/>
        <v>58771.30844796521</v>
      </c>
      <c r="L4" s="84" t="s">
        <v>211</v>
      </c>
      <c r="N4" s="68">
        <f>0.15</f>
        <v>0.15</v>
      </c>
      <c r="O4" s="84" t="s">
        <v>165</v>
      </c>
    </row>
    <row r="5" spans="1:18" s="58" customFormat="1" ht="28.8" x14ac:dyDescent="0.3">
      <c r="A5" s="99" t="s">
        <v>191</v>
      </c>
      <c r="B5" s="61">
        <f>IF(0&lt;(B3-B4)/B3,B4,B3*(1-$N$5))</f>
        <v>55000</v>
      </c>
      <c r="C5" s="61">
        <f t="shared" ref="C5:K5" si="1">IF(0&lt;(C3-C4)/C3,C4,C3*(1-$N$5))</f>
        <v>56000</v>
      </c>
      <c r="D5" s="61">
        <f t="shared" si="1"/>
        <v>56000</v>
      </c>
      <c r="E5" s="61">
        <f t="shared" si="1"/>
        <v>57000</v>
      </c>
      <c r="F5" s="61">
        <f t="shared" si="1"/>
        <v>57000</v>
      </c>
      <c r="G5" s="61">
        <f t="shared" si="1"/>
        <v>57000</v>
      </c>
      <c r="H5" s="61">
        <f t="shared" si="1"/>
        <v>57437.758286855889</v>
      </c>
      <c r="I5" s="61">
        <f t="shared" si="1"/>
        <v>57878.878544197942</v>
      </c>
      <c r="J5" s="61">
        <f t="shared" si="1"/>
        <v>58323.386591858442</v>
      </c>
      <c r="K5" s="61">
        <f t="shared" si="1"/>
        <v>58771.30844796521</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30000</v>
      </c>
      <c r="C8" s="65">
        <f>B8</f>
        <v>30000</v>
      </c>
      <c r="D8" s="65">
        <f t="shared" ref="D8:K8" si="2">C8</f>
        <v>30000</v>
      </c>
      <c r="E8" s="65">
        <f t="shared" si="2"/>
        <v>30000</v>
      </c>
      <c r="F8" s="65">
        <f t="shared" si="2"/>
        <v>30000</v>
      </c>
      <c r="G8" s="65">
        <f t="shared" si="2"/>
        <v>30000</v>
      </c>
      <c r="H8" s="65">
        <f t="shared" si="2"/>
        <v>30000</v>
      </c>
      <c r="I8" s="65">
        <f t="shared" si="2"/>
        <v>30000</v>
      </c>
      <c r="J8" s="65">
        <f t="shared" si="2"/>
        <v>30000</v>
      </c>
      <c r="K8" s="65">
        <f t="shared" si="2"/>
        <v>30000</v>
      </c>
      <c r="L8" s="84" t="s">
        <v>236</v>
      </c>
      <c r="N8" s="64">
        <v>7.6799699448402148E-3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16500</v>
      </c>
      <c r="C10" s="61">
        <f t="shared" ref="C10:K10" si="3">C5*C9</f>
        <v>17360</v>
      </c>
      <c r="D10" s="61">
        <f t="shared" si="3"/>
        <v>18480</v>
      </c>
      <c r="E10" s="61">
        <f t="shared" si="3"/>
        <v>19950</v>
      </c>
      <c r="F10" s="61">
        <f t="shared" si="3"/>
        <v>21090</v>
      </c>
      <c r="G10" s="61">
        <f t="shared" si="3"/>
        <v>21660</v>
      </c>
      <c r="H10" s="61">
        <f t="shared" si="3"/>
        <v>22975.103314742359</v>
      </c>
      <c r="I10" s="61">
        <f t="shared" si="3"/>
        <v>24309.128988563134</v>
      </c>
      <c r="J10" s="61">
        <f t="shared" si="3"/>
        <v>25079.05623449913</v>
      </c>
      <c r="K10" s="61">
        <f t="shared" si="3"/>
        <v>26447.088801584345</v>
      </c>
      <c r="L10" s="84" t="s">
        <v>376</v>
      </c>
      <c r="N10" s="122"/>
      <c r="O10" s="60"/>
    </row>
    <row r="11" spans="1:18" s="58" customFormat="1" ht="28.8" x14ac:dyDescent="0.3">
      <c r="A11" s="99" t="s">
        <v>172</v>
      </c>
      <c r="B11" s="61">
        <f t="shared" ref="B11:K11" si="4">MAX(B3-SUM(B6:B8,B10), B3*$N$6)</f>
        <v>15969.428420464108</v>
      </c>
      <c r="C11" s="61">
        <f t="shared" si="4"/>
        <v>15589.191753204621</v>
      </c>
      <c r="D11" s="61">
        <f t="shared" si="4"/>
        <v>14952.639653921215</v>
      </c>
      <c r="E11" s="61">
        <f t="shared" si="4"/>
        <v>13969.800419985208</v>
      </c>
      <c r="F11" s="61">
        <f t="shared" si="4"/>
        <v>13320.702566090877</v>
      </c>
      <c r="G11" s="61">
        <f t="shared" si="4"/>
        <v>13245.374825924497</v>
      </c>
      <c r="H11" s="61">
        <f t="shared" si="4"/>
        <v>12428.742839103827</v>
      </c>
      <c r="I11" s="61">
        <f t="shared" si="4"/>
        <v>11597.01673802155</v>
      </c>
      <c r="J11" s="61">
        <f t="shared" si="4"/>
        <v>11333.246710445979</v>
      </c>
      <c r="K11" s="61">
        <f t="shared" si="4"/>
        <v>10475.258633945567</v>
      </c>
      <c r="L11" s="84" t="s">
        <v>203</v>
      </c>
    </row>
    <row r="12" spans="1:18" s="58" customFormat="1" ht="43.8" x14ac:dyDescent="0.35">
      <c r="A12" s="99" t="s">
        <v>194</v>
      </c>
      <c r="B12" s="61">
        <f t="shared" ref="B12:K12" si="5">B6*$N$3+B11*$N$2</f>
        <v>6953.0891342700725</v>
      </c>
      <c r="C12" s="61">
        <f t="shared" si="5"/>
        <v>6787.5340893452922</v>
      </c>
      <c r="D12" s="61">
        <f t="shared" si="5"/>
        <v>6510.3793053172967</v>
      </c>
      <c r="E12" s="61">
        <f t="shared" si="5"/>
        <v>6082.4511028615598</v>
      </c>
      <c r="F12" s="61">
        <f t="shared" si="5"/>
        <v>5799.8338972759675</v>
      </c>
      <c r="G12" s="61">
        <f t="shared" si="5"/>
        <v>5767.0361992075259</v>
      </c>
      <c r="H12" s="61">
        <f t="shared" si="5"/>
        <v>5411.474632145806</v>
      </c>
      <c r="I12" s="61">
        <f t="shared" si="5"/>
        <v>5049.3410877345832</v>
      </c>
      <c r="J12" s="61">
        <f t="shared" si="5"/>
        <v>4934.4956177281792</v>
      </c>
      <c r="K12" s="61">
        <f t="shared" si="5"/>
        <v>4560.9276092198998</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0.11130386991010691</v>
      </c>
      <c r="C14" s="80">
        <f t="shared" si="6"/>
        <v>0.10782559553673303</v>
      </c>
      <c r="D14" s="80">
        <f t="shared" si="6"/>
        <v>0.10263453232967966</v>
      </c>
      <c r="E14" s="80">
        <f t="shared" si="6"/>
        <v>9.5157542152772695E-2</v>
      </c>
      <c r="F14" s="80">
        <f t="shared" si="6"/>
        <v>9.0044568157362406E-2</v>
      </c>
      <c r="G14" s="80">
        <f t="shared" si="6"/>
        <v>8.8852983511375661E-2</v>
      </c>
      <c r="H14" s="80">
        <f t="shared" si="6"/>
        <v>8.2739394552067566E-2</v>
      </c>
      <c r="I14" s="80">
        <f t="shared" si="6"/>
        <v>7.6614115907825284E-2</v>
      </c>
      <c r="J14" s="80">
        <f t="shared" si="6"/>
        <v>7.4300926167532672E-2</v>
      </c>
      <c r="K14" s="80">
        <f t="shared" si="6"/>
        <v>6.815253475102169E-2</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6953.0891342700725</v>
      </c>
      <c r="C16" s="81">
        <f t="shared" si="8"/>
        <v>6787.5340893452922</v>
      </c>
      <c r="D16" s="81">
        <f t="shared" si="8"/>
        <v>6510.3793053172967</v>
      </c>
      <c r="E16" s="81">
        <f t="shared" si="8"/>
        <v>6082.4511028615598</v>
      </c>
      <c r="F16" s="81">
        <f t="shared" si="8"/>
        <v>5799.8338972759675</v>
      </c>
      <c r="G16" s="81">
        <f t="shared" si="8"/>
        <v>5767.0361992075259</v>
      </c>
      <c r="H16" s="81">
        <f t="shared" si="8"/>
        <v>5411.474632145806</v>
      </c>
      <c r="I16" s="81">
        <f t="shared" si="8"/>
        <v>5049.3410877345832</v>
      </c>
      <c r="J16" s="81">
        <f t="shared" si="8"/>
        <v>4934.4956177281792</v>
      </c>
      <c r="K16" s="81">
        <f t="shared" si="8"/>
        <v>4560.9276092198998</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12" max="12" width="49.33203125" customWidth="1"/>
    <col min="15" max="15" width="39.5546875" bestFit="1" customWidth="1"/>
  </cols>
  <sheetData>
    <row r="1" spans="1:15" s="58" customFormat="1" ht="28.8" x14ac:dyDescent="0.3">
      <c r="A1" s="97" t="s">
        <v>182</v>
      </c>
      <c r="B1" s="199" t="s">
        <v>173</v>
      </c>
      <c r="C1" s="200"/>
      <c r="D1" s="200"/>
      <c r="E1" s="200"/>
      <c r="F1" s="200"/>
      <c r="G1" s="200"/>
      <c r="H1" s="200"/>
      <c r="I1" s="200"/>
      <c r="J1" s="200"/>
      <c r="K1" s="200"/>
      <c r="L1" s="201"/>
      <c r="N1" s="202" t="s">
        <v>193</v>
      </c>
      <c r="O1" s="203"/>
    </row>
    <row r="2" spans="1:15" s="58" customFormat="1" ht="15.6" x14ac:dyDescent="0.35">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369</v>
      </c>
    </row>
    <row r="3" spans="1:15" s="58" customFormat="1" ht="72.599999999999994" x14ac:dyDescent="0.35">
      <c r="A3" s="99" t="s">
        <v>166</v>
      </c>
      <c r="B3" s="61">
        <v>86545.920016047618</v>
      </c>
      <c r="C3" s="61">
        <v>87289.092578560812</v>
      </c>
      <c r="D3" s="61">
        <v>87951.33992795943</v>
      </c>
      <c r="E3" s="61">
        <v>88735.623999999996</v>
      </c>
      <c r="F3" s="61">
        <v>89431.2</v>
      </c>
      <c r="G3" s="61">
        <v>90226.143999999986</v>
      </c>
      <c r="H3" s="65">
        <f>AVERAGE(E3:G3)*(1+$N$8)</f>
        <v>89830.962799384855</v>
      </c>
      <c r="I3" s="65">
        <f t="shared" ref="I3:K4" si="0">H3*(1+$N$8)</f>
        <v>90199.105486226457</v>
      </c>
      <c r="J3" s="65">
        <f t="shared" si="0"/>
        <v>90568.756884915856</v>
      </c>
      <c r="K3" s="65">
        <f t="shared" si="0"/>
        <v>90939.923178412879</v>
      </c>
      <c r="L3" s="84" t="s">
        <v>254</v>
      </c>
      <c r="N3" s="62">
        <v>0.91839999999999999</v>
      </c>
      <c r="O3" s="8" t="s">
        <v>199</v>
      </c>
    </row>
    <row r="4" spans="1:15" s="58" customFormat="1" ht="57.6" x14ac:dyDescent="0.3">
      <c r="A4" s="99" t="s">
        <v>167</v>
      </c>
      <c r="B4" s="61">
        <f>SUMIFS('Form 1.1c'!J:J, 'Form 1.1c'!$B:$B, "Port of Oakland")*1000</f>
        <v>49000</v>
      </c>
      <c r="C4" s="61">
        <f>SUMIFS('Form 1.1c'!K:K, 'Form 1.1c'!$B:$B, "Port of Oakland")*1000</f>
        <v>50000</v>
      </c>
      <c r="D4" s="61">
        <f>SUMIFS('Form 1.1c'!L:L, 'Form 1.1c'!$B:$B, "Port of Oakland")*1000</f>
        <v>50000</v>
      </c>
      <c r="E4" s="61">
        <f>SUMIFS('Form 1.1c'!M:M, 'Form 1.1c'!$B:$B, "Port of Oakland")*1000</f>
        <v>50000</v>
      </c>
      <c r="F4" s="61">
        <f>SUMIFS('Form 1.1c'!N:N, 'Form 1.1c'!$B:$B, "Port of Oakland")*1000</f>
        <v>51000</v>
      </c>
      <c r="G4" s="61">
        <f>SUMIFS('Form 1.1c'!O:O, 'Form 1.1c'!$B:$B, "Port of Oakland")*1000</f>
        <v>51000</v>
      </c>
      <c r="H4" s="65">
        <f>AVERAGE(E4:G4)*(1+$N$8)</f>
        <v>50874.307353337586</v>
      </c>
      <c r="I4" s="61">
        <f t="shared" si="0"/>
        <v>51082.798987141949</v>
      </c>
      <c r="J4" s="61">
        <f t="shared" si="0"/>
        <v>51292.145055407003</v>
      </c>
      <c r="K4" s="61">
        <f t="shared" si="0"/>
        <v>51502.349059751657</v>
      </c>
      <c r="L4" s="84" t="s">
        <v>211</v>
      </c>
      <c r="N4" s="68">
        <f>0.15</f>
        <v>0.15</v>
      </c>
      <c r="O4" s="59" t="s">
        <v>165</v>
      </c>
    </row>
    <row r="5" spans="1:15" s="58" customFormat="1" ht="57.6" x14ac:dyDescent="0.3">
      <c r="A5" s="99" t="s">
        <v>191</v>
      </c>
      <c r="B5" s="61">
        <f>IF((B3-B4)/B3&lt;$N$4,B4,B3*(1-$N$4))</f>
        <v>73564.032013640477</v>
      </c>
      <c r="C5" s="61">
        <f t="shared" ref="C5:K5" si="1">IF((C3-C4)/C3&lt;$N$4,C4,C3*(1-$N$4))</f>
        <v>74195.728691776691</v>
      </c>
      <c r="D5" s="61">
        <f t="shared" si="1"/>
        <v>74758.638938765507</v>
      </c>
      <c r="E5" s="61">
        <f t="shared" si="1"/>
        <v>75425.280399999989</v>
      </c>
      <c r="F5" s="61">
        <f t="shared" si="1"/>
        <v>76016.51999999999</v>
      </c>
      <c r="G5" s="61">
        <f t="shared" si="1"/>
        <v>76692.222399999984</v>
      </c>
      <c r="H5" s="61">
        <f t="shared" si="1"/>
        <v>76356.318379477132</v>
      </c>
      <c r="I5" s="61">
        <f t="shared" si="1"/>
        <v>76669.239663292494</v>
      </c>
      <c r="J5" s="61">
        <f t="shared" si="1"/>
        <v>76983.443352178481</v>
      </c>
      <c r="K5" s="61">
        <f t="shared" si="1"/>
        <v>77298.934701650942</v>
      </c>
      <c r="L5" s="84" t="s">
        <v>374</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10651</v>
      </c>
      <c r="C8" s="61">
        <v>10650</v>
      </c>
      <c r="D8" s="61">
        <v>10650</v>
      </c>
      <c r="E8" s="61">
        <v>10650</v>
      </c>
      <c r="F8" s="61">
        <v>10650</v>
      </c>
      <c r="G8" s="61">
        <v>10650</v>
      </c>
      <c r="H8" s="65">
        <f>AVERAGE(E8:G8)</f>
        <v>10650</v>
      </c>
      <c r="I8" s="65">
        <f t="shared" ref="I8:K8" si="2">H8</f>
        <v>10650</v>
      </c>
      <c r="J8" s="65">
        <f t="shared" si="2"/>
        <v>10650</v>
      </c>
      <c r="K8" s="65">
        <f t="shared" si="2"/>
        <v>10650</v>
      </c>
      <c r="L8" s="84" t="s">
        <v>244</v>
      </c>
      <c r="N8" s="64">
        <v>4.0981714474523923E-3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 t="shared" ref="B10:K10" si="3">B5*B9</f>
        <v>22069.209604092142</v>
      </c>
      <c r="C10" s="61">
        <f t="shared" si="3"/>
        <v>23000.675894450775</v>
      </c>
      <c r="D10" s="61">
        <f t="shared" si="3"/>
        <v>24670.35084979262</v>
      </c>
      <c r="E10" s="61">
        <f t="shared" si="3"/>
        <v>26398.848139999995</v>
      </c>
      <c r="F10" s="61">
        <f t="shared" si="3"/>
        <v>28126.112399999995</v>
      </c>
      <c r="G10" s="61">
        <f t="shared" si="3"/>
        <v>29143.044511999993</v>
      </c>
      <c r="H10" s="61">
        <f t="shared" si="3"/>
        <v>30542.527351790854</v>
      </c>
      <c r="I10" s="61">
        <f t="shared" si="3"/>
        <v>32201.080658582847</v>
      </c>
      <c r="J10" s="61">
        <f t="shared" si="3"/>
        <v>33102.88064143675</v>
      </c>
      <c r="K10" s="61">
        <f t="shared" si="3"/>
        <v>34784.520615742927</v>
      </c>
      <c r="L10" s="84" t="s">
        <v>376</v>
      </c>
      <c r="N10" s="122"/>
      <c r="O10" s="60"/>
    </row>
    <row r="11" spans="1:15" s="58" customFormat="1" ht="28.8" x14ac:dyDescent="0.3">
      <c r="A11" s="99" t="s">
        <v>172</v>
      </c>
      <c r="B11" s="61">
        <f t="shared" ref="B11:K11" si="4">MAX(B3-SUM(B6:B8,B10), B3*$N$6)</f>
        <v>53825.710411955471</v>
      </c>
      <c r="C11" s="61">
        <f t="shared" si="4"/>
        <v>53638.416684110038</v>
      </c>
      <c r="D11" s="61">
        <f t="shared" si="4"/>
        <v>52630.989078166807</v>
      </c>
      <c r="E11" s="61">
        <f t="shared" si="4"/>
        <v>51686.775860000002</v>
      </c>
      <c r="F11" s="61">
        <f t="shared" si="4"/>
        <v>50655.087599999999</v>
      </c>
      <c r="G11" s="61">
        <f t="shared" si="4"/>
        <v>50433.099487999993</v>
      </c>
      <c r="H11" s="61">
        <f t="shared" si="4"/>
        <v>48638.435447594005</v>
      </c>
      <c r="I11" s="61">
        <f t="shared" si="4"/>
        <v>47348.02482764361</v>
      </c>
      <c r="J11" s="61">
        <f t="shared" si="4"/>
        <v>46815.876243479106</v>
      </c>
      <c r="K11" s="61">
        <f t="shared" si="4"/>
        <v>45505.402562669951</v>
      </c>
      <c r="L11" s="84" t="s">
        <v>203</v>
      </c>
    </row>
    <row r="12" spans="1:15" s="58" customFormat="1" ht="43.8" x14ac:dyDescent="0.35">
      <c r="A12" s="99" t="s">
        <v>194</v>
      </c>
      <c r="B12" s="61">
        <f t="shared" ref="B12:K12" si="5">B6*$N$3+B11*$N$2</f>
        <v>23435.714313365414</v>
      </c>
      <c r="C12" s="61">
        <f t="shared" si="5"/>
        <v>23354.16662426151</v>
      </c>
      <c r="D12" s="61">
        <f t="shared" si="5"/>
        <v>22915.532644633829</v>
      </c>
      <c r="E12" s="61">
        <f t="shared" si="5"/>
        <v>22504.422209444001</v>
      </c>
      <c r="F12" s="61">
        <f t="shared" si="5"/>
        <v>22055.225141039999</v>
      </c>
      <c r="G12" s="61">
        <f t="shared" si="5"/>
        <v>21958.571517075197</v>
      </c>
      <c r="H12" s="61">
        <f t="shared" si="5"/>
        <v>21177.17479388243</v>
      </c>
      <c r="I12" s="61">
        <f t="shared" si="5"/>
        <v>20615.330009956029</v>
      </c>
      <c r="J12" s="61">
        <f t="shared" si="5"/>
        <v>20383.632516410802</v>
      </c>
      <c r="K12" s="61">
        <f t="shared" si="5"/>
        <v>19813.052275786496</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6">B12/B3</f>
        <v>0.27078936024967887</v>
      </c>
      <c r="C14" s="80">
        <f t="shared" si="6"/>
        <v>0.26754965522459284</v>
      </c>
      <c r="D14" s="80">
        <f t="shared" si="6"/>
        <v>0.26054785138468434</v>
      </c>
      <c r="E14" s="80">
        <f t="shared" si="6"/>
        <v>0.2536120353359323</v>
      </c>
      <c r="F14" s="80">
        <f t="shared" si="6"/>
        <v>0.24661667450554167</v>
      </c>
      <c r="G14" s="80">
        <f t="shared" si="6"/>
        <v>0.24337260292399507</v>
      </c>
      <c r="H14" s="80">
        <f t="shared" si="6"/>
        <v>0.23574471578554035</v>
      </c>
      <c r="I14" s="80">
        <f t="shared" si="6"/>
        <v>0.22855359705428588</v>
      </c>
      <c r="J14" s="80">
        <f t="shared" si="6"/>
        <v>0.22506251843902339</v>
      </c>
      <c r="K14" s="80">
        <f t="shared" si="6"/>
        <v>0.21786968344932225</v>
      </c>
      <c r="L14" s="84" t="s">
        <v>206</v>
      </c>
    </row>
    <row r="15" spans="1:15"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5" ht="29.4" thickBot="1" x14ac:dyDescent="0.35">
      <c r="A16" s="179" t="s">
        <v>197</v>
      </c>
      <c r="B16" s="81">
        <f t="shared" ref="B16:K16" si="8">B12-B15</f>
        <v>23435.714313365414</v>
      </c>
      <c r="C16" s="81">
        <f t="shared" si="8"/>
        <v>23354.16662426151</v>
      </c>
      <c r="D16" s="81">
        <f t="shared" si="8"/>
        <v>22915.532644633829</v>
      </c>
      <c r="E16" s="81">
        <f t="shared" si="8"/>
        <v>22504.422209444001</v>
      </c>
      <c r="F16" s="81">
        <f t="shared" si="8"/>
        <v>22055.225141039999</v>
      </c>
      <c r="G16" s="81">
        <f t="shared" si="8"/>
        <v>21958.571517075197</v>
      </c>
      <c r="H16" s="81">
        <f t="shared" si="8"/>
        <v>21177.17479388243</v>
      </c>
      <c r="I16" s="81">
        <f t="shared" si="8"/>
        <v>20615.330009956029</v>
      </c>
      <c r="J16" s="81">
        <f t="shared" si="8"/>
        <v>20383.632516410802</v>
      </c>
      <c r="K16" s="81">
        <f t="shared" si="8"/>
        <v>19813.052275786496</v>
      </c>
      <c r="L16" s="88" t="s">
        <v>265</v>
      </c>
      <c r="M16" s="58"/>
      <c r="N16" s="58"/>
      <c r="O16" s="58"/>
    </row>
    <row r="17" spans="1:15" x14ac:dyDescent="0.3">
      <c r="A17" s="82"/>
      <c r="B17" s="82"/>
      <c r="C17" s="82"/>
      <c r="D17" s="82"/>
      <c r="E17" s="82"/>
      <c r="F17" s="82"/>
      <c r="G17" s="82"/>
      <c r="H17" s="82"/>
      <c r="I17" s="82"/>
      <c r="J17" s="82"/>
      <c r="K17" s="82"/>
      <c r="L17" s="58"/>
      <c r="M17" s="58"/>
      <c r="N17" s="58"/>
      <c r="O17" s="58"/>
    </row>
    <row r="18" spans="1:15" ht="15.6" x14ac:dyDescent="0.3">
      <c r="A18" s="82"/>
      <c r="B18" s="82"/>
      <c r="C18" s="82"/>
      <c r="D18" s="82"/>
      <c r="E18" s="82"/>
      <c r="F18" s="82"/>
      <c r="G18" s="82"/>
      <c r="H18" s="82"/>
      <c r="I18" s="82"/>
      <c r="J18" s="82"/>
      <c r="K18" s="82"/>
      <c r="L18" s="58"/>
      <c r="M18" s="58"/>
      <c r="O18" s="3"/>
    </row>
  </sheetData>
  <mergeCells count="3">
    <mergeCell ref="B1:L1"/>
    <mergeCell ref="N1:O1"/>
    <mergeCell ref="B13:J1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2" max="11" width="11.44140625" customWidth="1"/>
    <col min="12" max="12" width="49.33203125" customWidth="1"/>
    <col min="15" max="15" width="39.5546875" bestFit="1" customWidth="1"/>
  </cols>
  <sheetData>
    <row r="1" spans="1:15" s="58" customFormat="1" x14ac:dyDescent="0.3">
      <c r="A1" s="97" t="s">
        <v>49</v>
      </c>
      <c r="B1" s="199" t="s">
        <v>173</v>
      </c>
      <c r="C1" s="200"/>
      <c r="D1" s="200"/>
      <c r="E1" s="200"/>
      <c r="F1" s="200"/>
      <c r="G1" s="200"/>
      <c r="H1" s="200"/>
      <c r="I1" s="200"/>
      <c r="J1" s="200"/>
      <c r="K1" s="200"/>
      <c r="L1" s="201"/>
      <c r="N1" s="202" t="s">
        <v>193</v>
      </c>
      <c r="O1" s="203"/>
    </row>
    <row r="2" spans="1:15" s="58" customFormat="1" ht="15.6" x14ac:dyDescent="0.35">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369</v>
      </c>
    </row>
    <row r="3" spans="1:15" s="58" customFormat="1" ht="72.599999999999994" x14ac:dyDescent="0.35">
      <c r="A3" s="99" t="s">
        <v>166</v>
      </c>
      <c r="B3" s="61">
        <v>987021.40045887872</v>
      </c>
      <c r="C3" s="61">
        <v>985929.30649383564</v>
      </c>
      <c r="D3" s="61">
        <v>985452.52737361088</v>
      </c>
      <c r="E3" s="61">
        <v>985233.72</v>
      </c>
      <c r="F3" s="61">
        <v>983544.46399999992</v>
      </c>
      <c r="G3" s="61">
        <v>981855.2080000001</v>
      </c>
      <c r="H3" s="65">
        <f>AVERAGE(E3:G3)*(1+$N$8)</f>
        <v>987575.19783966476</v>
      </c>
      <c r="I3" s="65">
        <f t="shared" ref="I3:K4" si="0">H3*(1+$N$8)</f>
        <v>991622.45031766337</v>
      </c>
      <c r="J3" s="65">
        <f t="shared" si="0"/>
        <v>995686.28913020797</v>
      </c>
      <c r="K3" s="65">
        <f t="shared" si="0"/>
        <v>999766.78225094127</v>
      </c>
      <c r="L3" s="84" t="s">
        <v>254</v>
      </c>
      <c r="N3" s="62">
        <v>0.91839999999999999</v>
      </c>
      <c r="O3" s="8" t="s">
        <v>199</v>
      </c>
    </row>
    <row r="4" spans="1:15" s="58" customFormat="1" ht="57.6" x14ac:dyDescent="0.3">
      <c r="A4" s="99" t="s">
        <v>167</v>
      </c>
      <c r="B4" s="61">
        <f>SUMIFS('Form 1.1c'!J:J, 'Form 1.1c'!$B:$B, "City of Palo Alto")*1000</f>
        <v>985000</v>
      </c>
      <c r="C4" s="61">
        <f>SUMIFS('Form 1.1c'!K:K, 'Form 1.1c'!$B:$B, "City of Palo Alto")*1000</f>
        <v>992000</v>
      </c>
      <c r="D4" s="61">
        <f>SUMIFS('Form 1.1c'!L:L, 'Form 1.1c'!$B:$B, "City of Palo Alto")*1000</f>
        <v>999000</v>
      </c>
      <c r="E4" s="61">
        <f>SUMIFS('Form 1.1c'!M:M, 'Form 1.1c'!$B:$B, "City of Palo Alto")*1000</f>
        <v>1004000</v>
      </c>
      <c r="F4" s="61">
        <f>SUMIFS('Form 1.1c'!N:N, 'Form 1.1c'!$B:$B, "City of Palo Alto")*1000</f>
        <v>1008000</v>
      </c>
      <c r="G4" s="61">
        <f>SUMIFS('Form 1.1c'!O:O, 'Form 1.1c'!$B:$B, "City of Palo Alto")*1000</f>
        <v>1012000</v>
      </c>
      <c r="H4" s="65">
        <f>AVERAGE(E4:G4)*(1+$N$8)</f>
        <v>1012130.956819032</v>
      </c>
      <c r="I4" s="61">
        <f t="shared" si="0"/>
        <v>1016278.8430073503</v>
      </c>
      <c r="J4" s="61">
        <f t="shared" si="0"/>
        <v>1020443.727944413</v>
      </c>
      <c r="K4" s="61">
        <f t="shared" si="0"/>
        <v>1024625.6812940066</v>
      </c>
      <c r="L4" s="84" t="s">
        <v>211</v>
      </c>
      <c r="N4" s="68">
        <f>0.15</f>
        <v>0.15</v>
      </c>
      <c r="O4" s="59" t="s">
        <v>165</v>
      </c>
    </row>
    <row r="5" spans="1:15" s="58" customFormat="1" ht="28.8" x14ac:dyDescent="0.3">
      <c r="A5" s="99" t="s">
        <v>191</v>
      </c>
      <c r="B5" s="61">
        <f>IF(0&lt;($C$3-$C$4)/$C$3,B4,B3*(1-$N$5))</f>
        <v>917929.90242675715</v>
      </c>
      <c r="C5" s="61">
        <f>IF(0&lt;($C$3-$C$4)/$C$3,C4,C3*(1-$N$5))</f>
        <v>916914.25503926713</v>
      </c>
      <c r="D5" s="61">
        <f t="shared" ref="D5:K5" si="1">IF(0&lt;($C$3-$C$4)/$C$3,D4,D3*(1-$N$5))</f>
        <v>916470.85045745806</v>
      </c>
      <c r="E5" s="61">
        <f t="shared" si="1"/>
        <v>916267.35959999997</v>
      </c>
      <c r="F5" s="61">
        <f t="shared" si="1"/>
        <v>914696.35151999991</v>
      </c>
      <c r="G5" s="61">
        <f t="shared" si="1"/>
        <v>913125.34344000008</v>
      </c>
      <c r="H5" s="61">
        <f t="shared" si="1"/>
        <v>918444.93399088818</v>
      </c>
      <c r="I5" s="61">
        <f t="shared" si="1"/>
        <v>922208.87879542692</v>
      </c>
      <c r="J5" s="61">
        <f t="shared" si="1"/>
        <v>925988.2488910933</v>
      </c>
      <c r="K5" s="61">
        <f t="shared" si="1"/>
        <v>929783.10749337531</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326317</v>
      </c>
      <c r="C8" s="61">
        <v>327345</v>
      </c>
      <c r="D8" s="61">
        <v>327346</v>
      </c>
      <c r="E8" s="61">
        <v>327461</v>
      </c>
      <c r="F8" s="61">
        <v>327723</v>
      </c>
      <c r="G8" s="61">
        <v>327570</v>
      </c>
      <c r="H8" s="65">
        <f>AVERAGE(E8:G8)</f>
        <v>327584.66666666669</v>
      </c>
      <c r="I8" s="65">
        <f t="shared" ref="I8:K8" si="2">H8</f>
        <v>327584.66666666669</v>
      </c>
      <c r="J8" s="65">
        <f t="shared" si="2"/>
        <v>327584.66666666669</v>
      </c>
      <c r="K8" s="65">
        <f t="shared" si="2"/>
        <v>327584.66666666669</v>
      </c>
      <c r="L8" s="84" t="s">
        <v>244</v>
      </c>
      <c r="N8" s="64">
        <v>4.0981714474523923E-3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x14ac:dyDescent="0.3">
      <c r="A10" s="99" t="s">
        <v>171</v>
      </c>
      <c r="B10" s="61">
        <f t="shared" ref="B10:K10" si="3">B5*B9</f>
        <v>275378.97072802711</v>
      </c>
      <c r="C10" s="61">
        <f t="shared" si="3"/>
        <v>284243.41906217282</v>
      </c>
      <c r="D10" s="61">
        <f t="shared" si="3"/>
        <v>302435.38065096119</v>
      </c>
      <c r="E10" s="61">
        <f t="shared" si="3"/>
        <v>320693.57585999998</v>
      </c>
      <c r="F10" s="61">
        <f t="shared" si="3"/>
        <v>338437.65006239997</v>
      </c>
      <c r="G10" s="61">
        <f t="shared" si="3"/>
        <v>346987.63050720003</v>
      </c>
      <c r="H10" s="61">
        <f t="shared" si="3"/>
        <v>367377.9735963553</v>
      </c>
      <c r="I10" s="61">
        <f t="shared" si="3"/>
        <v>387327.72909407929</v>
      </c>
      <c r="J10" s="61">
        <f t="shared" si="3"/>
        <v>398174.94702317013</v>
      </c>
      <c r="K10" s="61">
        <f t="shared" si="3"/>
        <v>418402.39837201888</v>
      </c>
      <c r="L10" s="84" t="s">
        <v>376</v>
      </c>
      <c r="N10" s="123"/>
    </row>
    <row r="11" spans="1:15" s="58" customFormat="1" ht="28.8" x14ac:dyDescent="0.3">
      <c r="A11" s="99" t="s">
        <v>172</v>
      </c>
      <c r="B11" s="61">
        <f t="shared" ref="B11:K11" si="4">MAX(B3-SUM(B6:B8,B10), B3*$N$6)</f>
        <v>385325.42973085155</v>
      </c>
      <c r="C11" s="61">
        <f t="shared" si="4"/>
        <v>374340.88743166288</v>
      </c>
      <c r="D11" s="61">
        <f t="shared" si="4"/>
        <v>355671.14672264969</v>
      </c>
      <c r="E11" s="61">
        <f t="shared" si="4"/>
        <v>337079.14413999999</v>
      </c>
      <c r="F11" s="61">
        <f t="shared" si="4"/>
        <v>317383.8139376</v>
      </c>
      <c r="G11" s="61">
        <f t="shared" si="4"/>
        <v>307297.57749280008</v>
      </c>
      <c r="H11" s="61">
        <f t="shared" si="4"/>
        <v>292612.55757664284</v>
      </c>
      <c r="I11" s="61">
        <f t="shared" si="4"/>
        <v>276710.0545569174</v>
      </c>
      <c r="J11" s="61">
        <f t="shared" si="4"/>
        <v>269926.67544037115</v>
      </c>
      <c r="K11" s="61">
        <f t="shared" si="4"/>
        <v>253779.71721225569</v>
      </c>
      <c r="L11" s="84" t="s">
        <v>203</v>
      </c>
    </row>
    <row r="12" spans="1:15" s="58" customFormat="1" ht="43.8" x14ac:dyDescent="0.35">
      <c r="A12" s="99" t="s">
        <v>194</v>
      </c>
      <c r="B12" s="61">
        <f t="shared" ref="B12:K12" si="5">B6*$N$3+B11*$N$2</f>
        <v>167770.69210481277</v>
      </c>
      <c r="C12" s="61">
        <f t="shared" si="5"/>
        <v>162988.02238774602</v>
      </c>
      <c r="D12" s="61">
        <f t="shared" si="5"/>
        <v>154859.21728304168</v>
      </c>
      <c r="E12" s="61">
        <f t="shared" si="5"/>
        <v>146764.25935855601</v>
      </c>
      <c r="F12" s="61">
        <f t="shared" si="5"/>
        <v>138188.91258843103</v>
      </c>
      <c r="G12" s="61">
        <f t="shared" si="5"/>
        <v>133797.36524036515</v>
      </c>
      <c r="H12" s="61">
        <f t="shared" si="5"/>
        <v>127403.50756887029</v>
      </c>
      <c r="I12" s="61">
        <f t="shared" si="5"/>
        <v>120479.55775408183</v>
      </c>
      <c r="J12" s="61">
        <f t="shared" si="5"/>
        <v>117526.07448673761</v>
      </c>
      <c r="K12" s="61">
        <f t="shared" si="5"/>
        <v>110495.68887421614</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6">B12/B3</f>
        <v>0.16997675230427026</v>
      </c>
      <c r="C14" s="80">
        <f t="shared" si="6"/>
        <v>0.1653141065127321</v>
      </c>
      <c r="D14" s="80">
        <f t="shared" si="6"/>
        <v>0.1571452840004037</v>
      </c>
      <c r="E14" s="80">
        <f t="shared" si="6"/>
        <v>0.14896390204606072</v>
      </c>
      <c r="F14" s="80">
        <f t="shared" si="6"/>
        <v>0.14050093071179245</v>
      </c>
      <c r="G14" s="80">
        <f t="shared" si="6"/>
        <v>0.13626995523393418</v>
      </c>
      <c r="H14" s="80">
        <f t="shared" si="6"/>
        <v>0.12900638639727621</v>
      </c>
      <c r="I14" s="80">
        <f t="shared" si="6"/>
        <v>0.12149740832863007</v>
      </c>
      <c r="J14" s="80">
        <f t="shared" si="6"/>
        <v>0.11803524440353971</v>
      </c>
      <c r="K14" s="80">
        <f t="shared" si="6"/>
        <v>0.11052146444137584</v>
      </c>
      <c r="L14" s="84" t="s">
        <v>206</v>
      </c>
    </row>
    <row r="15" spans="1:15"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c r="N15"/>
      <c r="O15"/>
    </row>
    <row r="16" spans="1:15" ht="29.4" thickBot="1" x14ac:dyDescent="0.35">
      <c r="A16" s="179" t="s">
        <v>197</v>
      </c>
      <c r="B16" s="81">
        <f t="shared" ref="B16:K16" si="8">B12-B15</f>
        <v>167770.69210481277</v>
      </c>
      <c r="C16" s="81">
        <f t="shared" si="8"/>
        <v>162988.02238774602</v>
      </c>
      <c r="D16" s="81">
        <f t="shared" si="8"/>
        <v>154859.21728304168</v>
      </c>
      <c r="E16" s="81">
        <f t="shared" si="8"/>
        <v>146764.25935855601</v>
      </c>
      <c r="F16" s="81">
        <f t="shared" si="8"/>
        <v>138188.91258843103</v>
      </c>
      <c r="G16" s="81">
        <f t="shared" si="8"/>
        <v>133797.36524036515</v>
      </c>
      <c r="H16" s="81">
        <f t="shared" si="8"/>
        <v>127403.50756887029</v>
      </c>
      <c r="I16" s="81">
        <f t="shared" si="8"/>
        <v>120479.55775408183</v>
      </c>
      <c r="J16" s="81">
        <f t="shared" si="8"/>
        <v>117526.07448673761</v>
      </c>
      <c r="K16" s="81">
        <f t="shared" si="8"/>
        <v>110495.68887421614</v>
      </c>
      <c r="L16" s="88" t="s">
        <v>265</v>
      </c>
      <c r="O16" s="3"/>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zoomScaleNormal="100"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69</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78233.408297447502</v>
      </c>
      <c r="C3" s="65">
        <f>B3*(1+$N$8)</f>
        <v>78554.654273907698</v>
      </c>
      <c r="D3" s="65">
        <f>C3*(1+$N$8)</f>
        <v>78877.219366837933</v>
      </c>
      <c r="E3" s="65">
        <f>D3*(1+$N$8)</f>
        <v>79201.108992860929</v>
      </c>
      <c r="F3" s="65">
        <f>E3*(1+$N$8)</f>
        <v>79526.328590841455</v>
      </c>
      <c r="G3" s="65">
        <f>F3*(1+$N$8)</f>
        <v>79852.883621977599</v>
      </c>
      <c r="H3" s="65">
        <f t="shared" ref="H3:K4" si="0">G3*(1+$N$8)</f>
        <v>80180.779569892489</v>
      </c>
      <c r="I3" s="65">
        <f t="shared" si="0"/>
        <v>80510.021940726409</v>
      </c>
      <c r="J3" s="65">
        <f t="shared" si="0"/>
        <v>80840.616263229225</v>
      </c>
      <c r="K3" s="65">
        <f t="shared" si="0"/>
        <v>81172.568088853222</v>
      </c>
      <c r="L3" s="84" t="s">
        <v>210</v>
      </c>
      <c r="N3" s="62">
        <v>0.91839999999999999</v>
      </c>
      <c r="O3" s="8" t="s">
        <v>199</v>
      </c>
    </row>
    <row r="4" spans="1:18" s="58" customFormat="1" ht="57.6" x14ac:dyDescent="0.3">
      <c r="A4" s="99" t="s">
        <v>167</v>
      </c>
      <c r="B4" s="61">
        <f>SUMIFS('Form 1.1c'!J:J, 'Form 1.1c'!$B:$B, "City of Rancho Cucamonga")*1000</f>
        <v>78000</v>
      </c>
      <c r="C4" s="61">
        <f>SUMIFS('Form 1.1c'!K:K, 'Form 1.1c'!$B:$B, "City of Rancho Cucamonga")*1000</f>
        <v>79000</v>
      </c>
      <c r="D4" s="61">
        <f>SUMIFS('Form 1.1c'!L:L, 'Form 1.1c'!$B:$B, "City of Rancho Cucamonga")*1000</f>
        <v>79000</v>
      </c>
      <c r="E4" s="61">
        <f>SUMIFS('Form 1.1c'!M:M, 'Form 1.1c'!$B:$B, "City of Rancho Cucamonga")*1000</f>
        <v>79000</v>
      </c>
      <c r="F4" s="61">
        <f>SUMIFS('Form 1.1c'!N:N, 'Form 1.1c'!$B:$B, "City of Rancho Cucamonga")*1000</f>
        <v>80000</v>
      </c>
      <c r="G4" s="61">
        <f>SUMIFS('Form 1.1c'!O:O, 'Form 1.1c'!$B:$B, "City of Rancho Cucamonga")*1000</f>
        <v>80000</v>
      </c>
      <c r="H4" s="65">
        <f>AVERAGE(E4:G4)*(1+$N$8)</f>
        <v>79993.797961104952</v>
      </c>
      <c r="I4" s="61">
        <f t="shared" si="0"/>
        <v>80322.272538603487</v>
      </c>
      <c r="J4" s="61">
        <f t="shared" si="0"/>
        <v>80652.095915019105</v>
      </c>
      <c r="K4" s="61">
        <f t="shared" si="0"/>
        <v>80983.273628858107</v>
      </c>
      <c r="L4" s="84" t="s">
        <v>211</v>
      </c>
      <c r="N4" s="68">
        <f>0.15</f>
        <v>0.15</v>
      </c>
      <c r="O4" s="84" t="s">
        <v>165</v>
      </c>
    </row>
    <row r="5" spans="1:18" s="58" customFormat="1" ht="28.8" x14ac:dyDescent="0.3">
      <c r="A5" s="99" t="s">
        <v>191</v>
      </c>
      <c r="B5" s="61">
        <f t="shared" ref="B5:E5" si="1">IF(0&lt;($F$3-$F$4)/$F$3,B4,B3*(1-$N$5))</f>
        <v>72757.069716626167</v>
      </c>
      <c r="C5" s="61">
        <f t="shared" si="1"/>
        <v>73055.828474734153</v>
      </c>
      <c r="D5" s="61">
        <f t="shared" si="1"/>
        <v>73355.81401115928</v>
      </c>
      <c r="E5" s="61">
        <f t="shared" si="1"/>
        <v>73657.031363360657</v>
      </c>
      <c r="F5" s="61">
        <f>IF(0&lt;($F$3-$F$4)/$F$3,F4,F3*(1-$N$5))</f>
        <v>73959.485589482545</v>
      </c>
      <c r="G5" s="61">
        <f t="shared" ref="G5" si="2">IF(0&lt;($F$3-$F$4)/$F$3,G4,G3*(1-$N$5))</f>
        <v>74263.181768439157</v>
      </c>
      <c r="H5" s="61">
        <f t="shared" ref="H5" si="3">IF(0&lt;($F$3-$F$4)/$F$3,H4,H3*(1-$N$5))</f>
        <v>74568.125000000015</v>
      </c>
      <c r="I5" s="61">
        <f t="shared" ref="I5" si="4">IF(0&lt;($F$3-$F$4)/$F$3,I4,I3*(1-$N$5))</f>
        <v>74874.320404875558</v>
      </c>
      <c r="J5" s="61">
        <f t="shared" ref="J5" si="5">IF(0&lt;($F$3-$F$4)/$F$3,J4,J3*(1-$N$5))</f>
        <v>75181.773124803178</v>
      </c>
      <c r="K5" s="61">
        <f>IF(0&lt;($F$3-$F$4)/$F$3,K4,K3*(1-$N$5))</f>
        <v>75490.488322633493</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21827.120914987849</v>
      </c>
      <c r="C10" s="61">
        <f t="shared" ref="C10:K10" si="6">C5*C9</f>
        <v>22647.306827167587</v>
      </c>
      <c r="D10" s="61">
        <f t="shared" si="6"/>
        <v>24207.418623682563</v>
      </c>
      <c r="E10" s="61">
        <f t="shared" si="6"/>
        <v>25779.96097717623</v>
      </c>
      <c r="F10" s="61">
        <f t="shared" si="6"/>
        <v>27365.009668108542</v>
      </c>
      <c r="G10" s="61">
        <f t="shared" si="6"/>
        <v>28220.00907200688</v>
      </c>
      <c r="H10" s="61">
        <f t="shared" si="6"/>
        <v>29827.250000000007</v>
      </c>
      <c r="I10" s="61">
        <f t="shared" si="6"/>
        <v>31447.214570047734</v>
      </c>
      <c r="J10" s="61">
        <f t="shared" si="6"/>
        <v>32328.162443665366</v>
      </c>
      <c r="K10" s="61">
        <f t="shared" si="6"/>
        <v>33970.719745185073</v>
      </c>
      <c r="L10" s="84" t="s">
        <v>376</v>
      </c>
      <c r="N10" s="122"/>
      <c r="O10" s="60"/>
    </row>
    <row r="11" spans="1:18" s="58" customFormat="1" ht="28.8" x14ac:dyDescent="0.3">
      <c r="A11" s="99" t="s">
        <v>172</v>
      </c>
      <c r="B11" s="61">
        <f t="shared" ref="B11:K11" si="7">MAX(B3-SUM(B6:B8,B10), B3*$N$6)</f>
        <v>56406.287382459654</v>
      </c>
      <c r="C11" s="61">
        <f t="shared" si="7"/>
        <v>55907.34744674011</v>
      </c>
      <c r="D11" s="61">
        <f t="shared" si="7"/>
        <v>54669.800743155371</v>
      </c>
      <c r="E11" s="61">
        <f t="shared" si="7"/>
        <v>53421.148015684696</v>
      </c>
      <c r="F11" s="61">
        <f t="shared" si="7"/>
        <v>52161.318922732913</v>
      </c>
      <c r="G11" s="61">
        <f t="shared" si="7"/>
        <v>51632.874549970715</v>
      </c>
      <c r="H11" s="61">
        <f t="shared" si="7"/>
        <v>50353.529569892482</v>
      </c>
      <c r="I11" s="61">
        <f t="shared" si="7"/>
        <v>49062.807370678674</v>
      </c>
      <c r="J11" s="61">
        <f t="shared" si="7"/>
        <v>48512.45381956386</v>
      </c>
      <c r="K11" s="61">
        <f t="shared" si="7"/>
        <v>47201.848343668149</v>
      </c>
      <c r="L11" s="84" t="s">
        <v>203</v>
      </c>
    </row>
    <row r="12" spans="1:18" s="58" customFormat="1" ht="43.8" x14ac:dyDescent="0.35">
      <c r="A12" s="99" t="s">
        <v>194</v>
      </c>
      <c r="B12" s="61">
        <f t="shared" ref="B12:K12" si="8">B6*$N$3+B11*$N$2</f>
        <v>24559.297526322935</v>
      </c>
      <c r="C12" s="61">
        <f t="shared" si="8"/>
        <v>24342.059078310645</v>
      </c>
      <c r="D12" s="61">
        <f t="shared" si="8"/>
        <v>23803.231243569848</v>
      </c>
      <c r="E12" s="61">
        <f t="shared" si="8"/>
        <v>23259.567846029116</v>
      </c>
      <c r="F12" s="61">
        <f t="shared" si="8"/>
        <v>22711.038258957909</v>
      </c>
      <c r="G12" s="61">
        <f t="shared" si="8"/>
        <v>22480.953579057248</v>
      </c>
      <c r="H12" s="61">
        <f t="shared" si="8"/>
        <v>21923.926774731186</v>
      </c>
      <c r="I12" s="61">
        <f t="shared" si="8"/>
        <v>21361.946329193495</v>
      </c>
      <c r="J12" s="61">
        <f t="shared" si="8"/>
        <v>21122.322393038106</v>
      </c>
      <c r="K12" s="61">
        <f t="shared" si="8"/>
        <v>20551.684768833111</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9">B12/B3</f>
        <v>0.31392340000000002</v>
      </c>
      <c r="C14" s="80">
        <f t="shared" si="9"/>
        <v>0.30987418000000005</v>
      </c>
      <c r="D14" s="80">
        <f t="shared" si="9"/>
        <v>0.30177574000000001</v>
      </c>
      <c r="E14" s="80">
        <f t="shared" si="9"/>
        <v>0.29367729999999997</v>
      </c>
      <c r="F14" s="80">
        <f t="shared" si="9"/>
        <v>0.28557885999999999</v>
      </c>
      <c r="G14" s="80">
        <f t="shared" si="9"/>
        <v>0.28152963999999997</v>
      </c>
      <c r="H14" s="80">
        <f t="shared" si="9"/>
        <v>0.27343119999999999</v>
      </c>
      <c r="I14" s="80">
        <f t="shared" si="9"/>
        <v>0.26533276</v>
      </c>
      <c r="J14" s="80">
        <f t="shared" si="9"/>
        <v>0.26128354000000004</v>
      </c>
      <c r="K14" s="80">
        <f t="shared" si="9"/>
        <v>0.2531851</v>
      </c>
      <c r="L14" s="84" t="s">
        <v>206</v>
      </c>
    </row>
    <row r="15" spans="1:18" s="58" customFormat="1" ht="30.6" thickBot="1" x14ac:dyDescent="0.4">
      <c r="A15" s="99" t="s">
        <v>196</v>
      </c>
      <c r="B15" s="79">
        <f>$K$13*B14</f>
        <v>0</v>
      </c>
      <c r="C15" s="79">
        <f t="shared" ref="C15:K15" si="10">$K$13*C14</f>
        <v>0</v>
      </c>
      <c r="D15" s="79">
        <f t="shared" si="10"/>
        <v>0</v>
      </c>
      <c r="E15" s="79">
        <f t="shared" si="10"/>
        <v>0</v>
      </c>
      <c r="F15" s="79">
        <f t="shared" si="10"/>
        <v>0</v>
      </c>
      <c r="G15" s="79">
        <f t="shared" si="10"/>
        <v>0</v>
      </c>
      <c r="H15" s="79">
        <f t="shared" si="10"/>
        <v>0</v>
      </c>
      <c r="I15" s="79">
        <f t="shared" si="10"/>
        <v>0</v>
      </c>
      <c r="J15" s="79">
        <f t="shared" si="10"/>
        <v>0</v>
      </c>
      <c r="K15" s="79">
        <f t="shared" si="10"/>
        <v>0</v>
      </c>
      <c r="L15" s="84" t="s">
        <v>250</v>
      </c>
    </row>
    <row r="16" spans="1:18" ht="29.4" thickBot="1" x14ac:dyDescent="0.35">
      <c r="A16" s="179" t="s">
        <v>197</v>
      </c>
      <c r="B16" s="81">
        <f t="shared" ref="B16:K16" si="11">B12-B15</f>
        <v>24559.297526322935</v>
      </c>
      <c r="C16" s="81">
        <f t="shared" si="11"/>
        <v>24342.059078310645</v>
      </c>
      <c r="D16" s="81">
        <f t="shared" si="11"/>
        <v>23803.231243569848</v>
      </c>
      <c r="E16" s="81">
        <f t="shared" si="11"/>
        <v>23259.567846029116</v>
      </c>
      <c r="F16" s="81">
        <f t="shared" si="11"/>
        <v>22711.038258957909</v>
      </c>
      <c r="G16" s="81">
        <f t="shared" si="11"/>
        <v>22480.953579057248</v>
      </c>
      <c r="H16" s="81">
        <f t="shared" si="11"/>
        <v>21923.926774731186</v>
      </c>
      <c r="I16" s="81">
        <f t="shared" si="11"/>
        <v>21361.946329193495</v>
      </c>
      <c r="J16" s="81">
        <f t="shared" si="11"/>
        <v>21122.322393038106</v>
      </c>
      <c r="K16" s="81">
        <f t="shared" si="11"/>
        <v>20551.684768833111</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23</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1.5a'!$B:$B, "Riverside")*1000</f>
        <v>2464000</v>
      </c>
      <c r="C3" s="61">
        <f>SUMIFS('Form 1.5a'!K:K, 'Form 1.5a'!$B:$B, "Riverside")*1000</f>
        <v>2478000</v>
      </c>
      <c r="D3" s="61">
        <f>SUMIFS('Form 1.5a'!L:L, 'Form 1.5a'!$B:$B, "Riverside")*1000</f>
        <v>2486000</v>
      </c>
      <c r="E3" s="61">
        <f>SUMIFS('Form 1.5a'!M:M, 'Form 1.5a'!$B:$B, "Riverside")*1000</f>
        <v>2491000</v>
      </c>
      <c r="F3" s="61">
        <f>SUMIFS('Form 1.5a'!N:N, 'Form 1.5a'!$B:$B, "Riverside")*1000</f>
        <v>2500000</v>
      </c>
      <c r="G3" s="61">
        <f>SUMIFS('Form 1.5a'!O:O, 'Form 1.5a'!$B:$B, "Riverside")*1000</f>
        <v>2502000</v>
      </c>
      <c r="H3" s="65">
        <f>AVERAGE(E3:G3)*(1+$N$8)</f>
        <v>2507917.6596220401</v>
      </c>
      <c r="I3" s="65">
        <f t="shared" ref="I3:K4" si="0">H3*(1+$N$8)</f>
        <v>2518210.7249876247</v>
      </c>
      <c r="J3" s="65">
        <f t="shared" si="0"/>
        <v>2528546.0354381762</v>
      </c>
      <c r="K3" s="65">
        <f t="shared" si="0"/>
        <v>2538923.7643571463</v>
      </c>
      <c r="L3" s="84" t="s">
        <v>209</v>
      </c>
      <c r="N3" s="62">
        <v>0.91839999999999999</v>
      </c>
      <c r="O3" s="8" t="s">
        <v>199</v>
      </c>
    </row>
    <row r="4" spans="1:18" s="58" customFormat="1" ht="57.6" x14ac:dyDescent="0.3">
      <c r="A4" s="99" t="s">
        <v>167</v>
      </c>
      <c r="B4" s="61">
        <f>SUMIFS('Form 1.1c'!J:J, 'Form 1.1c'!$B:$B, "City of Riverside")*1000</f>
        <v>2311000</v>
      </c>
      <c r="C4" s="61">
        <f>SUMIFS('Form 1.1c'!K:K, 'Form 1.1c'!$B:$B, "City of Riverside")*1000</f>
        <v>2325000</v>
      </c>
      <c r="D4" s="61">
        <f>SUMIFS('Form 1.1c'!L:L, 'Form 1.1c'!$B:$B, "City of Riverside")*1000</f>
        <v>2332000</v>
      </c>
      <c r="E4" s="61">
        <f>SUMIFS('Form 1.1c'!M:M, 'Form 1.1c'!$B:$B, "City of Riverside")*1000</f>
        <v>2337000</v>
      </c>
      <c r="F4" s="61">
        <f>SUMIFS('Form 1.1c'!N:N, 'Form 1.1c'!$B:$B, "City of Riverside")*1000</f>
        <v>2345000</v>
      </c>
      <c r="G4" s="61">
        <f>SUMIFS('Form 1.1c'!O:O, 'Form 1.1c'!$B:$B, "City of Riverside")*1000</f>
        <v>2347000</v>
      </c>
      <c r="H4" s="65">
        <f>AVERAGE(E4:G4)*(1+$N$8)</f>
        <v>2352616.2057231176</v>
      </c>
      <c r="I4" s="61">
        <f t="shared" si="0"/>
        <v>2362271.878545044</v>
      </c>
      <c r="J4" s="61">
        <f t="shared" si="0"/>
        <v>2371967.1804477433</v>
      </c>
      <c r="K4" s="61">
        <f t="shared" si="0"/>
        <v>2381702.2740779901</v>
      </c>
      <c r="L4" s="84" t="s">
        <v>211</v>
      </c>
      <c r="N4" s="68">
        <f>0.15</f>
        <v>0.15</v>
      </c>
      <c r="O4" s="84" t="s">
        <v>165</v>
      </c>
    </row>
    <row r="5" spans="1:18" s="58" customFormat="1" ht="28.8" x14ac:dyDescent="0.3">
      <c r="A5" s="99" t="s">
        <v>191</v>
      </c>
      <c r="B5" s="61">
        <f>IF(0&lt;(B3-B4)/B3,B4,B3*(1-$N$5))</f>
        <v>2311000</v>
      </c>
      <c r="C5" s="61">
        <f t="shared" ref="C5:K5" si="1">IF(0&lt;(C3-C4)/C3,C4,C3*(1-$N$5))</f>
        <v>2325000</v>
      </c>
      <c r="D5" s="61">
        <f t="shared" si="1"/>
        <v>2332000</v>
      </c>
      <c r="E5" s="61">
        <f t="shared" si="1"/>
        <v>2337000</v>
      </c>
      <c r="F5" s="61">
        <f t="shared" si="1"/>
        <v>2345000</v>
      </c>
      <c r="G5" s="61">
        <f t="shared" si="1"/>
        <v>2347000</v>
      </c>
      <c r="H5" s="61">
        <f t="shared" si="1"/>
        <v>2352616.2057231176</v>
      </c>
      <c r="I5" s="61">
        <f t="shared" si="1"/>
        <v>2362271.878545044</v>
      </c>
      <c r="J5" s="61">
        <f t="shared" si="1"/>
        <v>2371967.1804477433</v>
      </c>
      <c r="K5" s="61">
        <f t="shared" si="1"/>
        <v>2381702.2740779901</v>
      </c>
      <c r="L5" s="84" t="s">
        <v>271</v>
      </c>
      <c r="N5" s="68">
        <f>0.07</f>
        <v>7.0000000000000007E-2</v>
      </c>
      <c r="O5" s="84" t="s">
        <v>275</v>
      </c>
    </row>
    <row r="6" spans="1:18" s="58" customFormat="1" ht="43.2" x14ac:dyDescent="0.3">
      <c r="A6" s="99" t="s">
        <v>168</v>
      </c>
      <c r="B6" s="61">
        <v>713758.6</v>
      </c>
      <c r="C6" s="61">
        <v>717550.6</v>
      </c>
      <c r="D6" s="61">
        <v>718588.8</v>
      </c>
      <c r="E6" s="61">
        <v>709837.2</v>
      </c>
      <c r="F6" s="61">
        <f>AVERAGE(C6:E6)</f>
        <v>715325.53333333321</v>
      </c>
      <c r="G6" s="61">
        <f>F6</f>
        <v>715325.53333333321</v>
      </c>
      <c r="H6" s="61">
        <f>G6/2</f>
        <v>357662.7666666666</v>
      </c>
      <c r="I6" s="61">
        <v>0</v>
      </c>
      <c r="J6" s="61">
        <v>0</v>
      </c>
      <c r="K6" s="61">
        <v>0</v>
      </c>
      <c r="L6" s="103" t="s">
        <v>233</v>
      </c>
      <c r="N6" s="63">
        <v>0.05</v>
      </c>
      <c r="O6" s="84" t="s">
        <v>200</v>
      </c>
    </row>
    <row r="7" spans="1:18" s="58" customFormat="1" ht="43.2" x14ac:dyDescent="0.3">
      <c r="A7" s="99" t="s">
        <v>169</v>
      </c>
      <c r="B7" s="61">
        <v>91977.600000000006</v>
      </c>
      <c r="C7" s="61">
        <v>92766.96</v>
      </c>
      <c r="D7" s="61">
        <v>93341.43</v>
      </c>
      <c r="E7" s="61">
        <v>94182.27</v>
      </c>
      <c r="F7" s="61">
        <f>AVERAGE(C7:E7)</f>
        <v>93430.220000000016</v>
      </c>
      <c r="G7" s="61">
        <f>F7</f>
        <v>93430.220000000016</v>
      </c>
      <c r="H7" s="61">
        <f t="shared" ref="H7:K8" si="2">G7</f>
        <v>93430.220000000016</v>
      </c>
      <c r="I7" s="61">
        <f t="shared" si="2"/>
        <v>93430.220000000016</v>
      </c>
      <c r="J7" s="61">
        <f t="shared" si="2"/>
        <v>93430.220000000016</v>
      </c>
      <c r="K7" s="61">
        <f t="shared" si="2"/>
        <v>93430.220000000016</v>
      </c>
      <c r="L7" s="84" t="s">
        <v>234</v>
      </c>
      <c r="O7" s="101"/>
    </row>
    <row r="8" spans="1:18" s="58" customFormat="1" ht="28.8" x14ac:dyDescent="0.3">
      <c r="A8" s="99" t="s">
        <v>170</v>
      </c>
      <c r="B8" s="65">
        <v>33839.555</v>
      </c>
      <c r="C8" s="65">
        <v>33838.830999999998</v>
      </c>
      <c r="D8" s="65">
        <v>33838.718000000001</v>
      </c>
      <c r="E8" s="65">
        <v>33836.239999999998</v>
      </c>
      <c r="F8" s="61">
        <f>AVERAGE(C8:E8)</f>
        <v>33837.929666666663</v>
      </c>
      <c r="G8" s="61">
        <f>F8</f>
        <v>33837.929666666663</v>
      </c>
      <c r="H8" s="61">
        <f t="shared" si="2"/>
        <v>33837.929666666663</v>
      </c>
      <c r="I8" s="61">
        <f t="shared" si="2"/>
        <v>33837.929666666663</v>
      </c>
      <c r="J8" s="61">
        <f t="shared" si="2"/>
        <v>33837.929666666663</v>
      </c>
      <c r="K8" s="61">
        <f t="shared" si="2"/>
        <v>33837.929666666663</v>
      </c>
      <c r="L8" s="84" t="s">
        <v>230</v>
      </c>
      <c r="N8" s="64">
        <v>4.1042277947578309E-3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693300</v>
      </c>
      <c r="C10" s="61">
        <f t="shared" ref="C10:K10" si="3">C5*C9</f>
        <v>720750</v>
      </c>
      <c r="D10" s="61">
        <f t="shared" si="3"/>
        <v>769560</v>
      </c>
      <c r="E10" s="61">
        <f t="shared" si="3"/>
        <v>817950</v>
      </c>
      <c r="F10" s="61">
        <f t="shared" si="3"/>
        <v>867650</v>
      </c>
      <c r="G10" s="61">
        <f t="shared" si="3"/>
        <v>891860</v>
      </c>
      <c r="H10" s="61">
        <f t="shared" si="3"/>
        <v>941046.4822892471</v>
      </c>
      <c r="I10" s="61">
        <f t="shared" si="3"/>
        <v>992154.18898891844</v>
      </c>
      <c r="J10" s="61">
        <f t="shared" si="3"/>
        <v>1019945.8875925296</v>
      </c>
      <c r="K10" s="61">
        <f t="shared" si="3"/>
        <v>1071766.0233350955</v>
      </c>
      <c r="L10" s="84" t="s">
        <v>376</v>
      </c>
      <c r="N10" s="122"/>
      <c r="O10" s="60"/>
    </row>
    <row r="11" spans="1:18" s="58" customFormat="1" ht="28.8" x14ac:dyDescent="0.3">
      <c r="A11" s="99" t="s">
        <v>172</v>
      </c>
      <c r="B11" s="61">
        <f t="shared" ref="B11:K11" si="4">MAX(B3-SUM(B6:B8,B10), B3*$N$6)</f>
        <v>931124.24500000011</v>
      </c>
      <c r="C11" s="61">
        <f t="shared" si="4"/>
        <v>913093.60900000017</v>
      </c>
      <c r="D11" s="61">
        <f t="shared" si="4"/>
        <v>870671.05200000014</v>
      </c>
      <c r="E11" s="61">
        <f t="shared" si="4"/>
        <v>835194.29</v>
      </c>
      <c r="F11" s="61">
        <f t="shared" si="4"/>
        <v>789756.31700000027</v>
      </c>
      <c r="G11" s="61">
        <f t="shared" si="4"/>
        <v>767546.31700000027</v>
      </c>
      <c r="H11" s="61">
        <f t="shared" si="4"/>
        <v>1081940.2609994598</v>
      </c>
      <c r="I11" s="61">
        <f t="shared" si="4"/>
        <v>1398788.3863320395</v>
      </c>
      <c r="J11" s="61">
        <f t="shared" si="4"/>
        <v>1381331.9981789798</v>
      </c>
      <c r="K11" s="61">
        <f t="shared" si="4"/>
        <v>1339889.5913553841</v>
      </c>
      <c r="L11" s="84" t="s">
        <v>203</v>
      </c>
    </row>
    <row r="12" spans="1:18" s="58" customFormat="1" ht="43.8" x14ac:dyDescent="0.35">
      <c r="A12" s="99" t="s">
        <v>194</v>
      </c>
      <c r="B12" s="61">
        <f t="shared" ref="B12:K12" si="5">B6*$N$3+B11*$N$2</f>
        <v>1060927.394513</v>
      </c>
      <c r="C12" s="61">
        <f t="shared" si="5"/>
        <v>1056559.4283986001</v>
      </c>
      <c r="D12" s="61">
        <f t="shared" si="5"/>
        <v>1039042.1299608001</v>
      </c>
      <c r="E12" s="61">
        <f t="shared" si="5"/>
        <v>1015558.0783460001</v>
      </c>
      <c r="F12" s="61">
        <f t="shared" si="5"/>
        <v>1000814.8702351335</v>
      </c>
      <c r="G12" s="61">
        <f t="shared" si="5"/>
        <v>991144.6362351334</v>
      </c>
      <c r="H12" s="61">
        <f t="shared" si="5"/>
        <v>799554.27454583137</v>
      </c>
      <c r="I12" s="61">
        <f t="shared" si="5"/>
        <v>609032.46340897004</v>
      </c>
      <c r="J12" s="61">
        <f t="shared" si="5"/>
        <v>601431.95200712781</v>
      </c>
      <c r="K12" s="61">
        <f t="shared" si="5"/>
        <v>583387.9280761343</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0.43057118283806822</v>
      </c>
      <c r="C14" s="80">
        <f t="shared" si="6"/>
        <v>0.42637587909548025</v>
      </c>
      <c r="D14" s="80">
        <f t="shared" si="6"/>
        <v>0.41795741349991955</v>
      </c>
      <c r="E14" s="80">
        <f t="shared" si="6"/>
        <v>0.40769091864552393</v>
      </c>
      <c r="F14" s="80">
        <f t="shared" si="6"/>
        <v>0.40032594809405336</v>
      </c>
      <c r="G14" s="80">
        <f t="shared" si="6"/>
        <v>0.39614094174066083</v>
      </c>
      <c r="H14" s="80">
        <f t="shared" si="6"/>
        <v>0.31881201182112556</v>
      </c>
      <c r="I14" s="80">
        <f t="shared" si="6"/>
        <v>0.24185127057306255</v>
      </c>
      <c r="J14" s="80">
        <f t="shared" si="6"/>
        <v>0.23785683296958626</v>
      </c>
      <c r="K14" s="80">
        <f t="shared" si="6"/>
        <v>0.22977764683842239</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1060927.394513</v>
      </c>
      <c r="C16" s="81">
        <f t="shared" si="8"/>
        <v>1056559.4283986001</v>
      </c>
      <c r="D16" s="81">
        <f t="shared" si="8"/>
        <v>1039042.1299608001</v>
      </c>
      <c r="E16" s="81">
        <f t="shared" si="8"/>
        <v>1015558.0783460001</v>
      </c>
      <c r="F16" s="81">
        <f t="shared" si="8"/>
        <v>1000814.8702351335</v>
      </c>
      <c r="G16" s="81">
        <f t="shared" si="8"/>
        <v>991144.6362351334</v>
      </c>
      <c r="H16" s="81">
        <f t="shared" si="8"/>
        <v>799554.27454583137</v>
      </c>
      <c r="I16" s="81">
        <f t="shared" si="8"/>
        <v>609032.46340897004</v>
      </c>
      <c r="J16" s="81">
        <f t="shared" si="8"/>
        <v>601431.95200712781</v>
      </c>
      <c r="K16" s="81">
        <f t="shared" si="8"/>
        <v>583387.9280761343</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ht="15.6" x14ac:dyDescent="0.3">
      <c r="A18" s="82"/>
      <c r="B18" s="82"/>
      <c r="C18" s="82"/>
      <c r="D18" s="82"/>
      <c r="E18" s="82"/>
      <c r="F18" s="82"/>
      <c r="G18" s="82"/>
      <c r="H18" s="82"/>
      <c r="I18" s="82"/>
      <c r="J18" s="82"/>
      <c r="K18" s="82"/>
      <c r="N18" s="4"/>
      <c r="O18" s="7"/>
    </row>
  </sheetData>
  <mergeCells count="3">
    <mergeCell ref="B1:L1"/>
    <mergeCell ref="N1:O1"/>
    <mergeCell ref="B13:J1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 min="16" max="17" width="12" customWidth="1"/>
    <col min="18" max="18" width="9.6640625" customWidth="1"/>
    <col min="19" max="19" width="14.33203125" customWidth="1"/>
    <col min="20" max="20" width="10.6640625" bestFit="1" customWidth="1"/>
  </cols>
  <sheetData>
    <row r="1" spans="1:18" s="58" customFormat="1" ht="15.6" x14ac:dyDescent="0.3">
      <c r="A1" s="97" t="s">
        <v>84</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1.5a'!$B:$B, "Roseville")*1000</f>
        <v>1400000</v>
      </c>
      <c r="C3" s="61">
        <f>SUMIFS('Form 1.5a'!K:K, 'Form 1.5a'!$B:$B, "Roseville")*1000</f>
        <v>1416000</v>
      </c>
      <c r="D3" s="61">
        <f>SUMIFS('Form 1.5a'!L:L, 'Form 1.5a'!$B:$B, "Roseville")*1000</f>
        <v>1432000</v>
      </c>
      <c r="E3" s="61">
        <f>SUMIFS('Form 1.5a'!M:M, 'Form 1.5a'!$B:$B, "Roseville")*1000</f>
        <v>1447000</v>
      </c>
      <c r="F3" s="61">
        <f>SUMIFS('Form 1.5a'!N:N, 'Form 1.5a'!$B:$B, "Roseville")*1000</f>
        <v>1461000</v>
      </c>
      <c r="G3" s="61">
        <f>SUMIFS('Form 1.5a'!O:O, 'Form 1.5a'!$B:$B, "Roseville")*1000</f>
        <v>1475000</v>
      </c>
      <c r="H3" s="65">
        <f>AVERAGE(E3:G3)*(1+$N$8)</f>
        <v>1476362.8539233785</v>
      </c>
      <c r="I3" s="65">
        <f t="shared" ref="I3:K4" si="0">H3*(1+$N$8)</f>
        <v>1491887.2528711725</v>
      </c>
      <c r="J3" s="65">
        <f t="shared" si="0"/>
        <v>1507574.8955378463</v>
      </c>
      <c r="K3" s="65">
        <f t="shared" si="0"/>
        <v>1523427.4984801465</v>
      </c>
      <c r="L3" s="84" t="s">
        <v>209</v>
      </c>
      <c r="N3" s="62">
        <v>0.91839999999999999</v>
      </c>
      <c r="O3" s="8" t="s">
        <v>199</v>
      </c>
    </row>
    <row r="4" spans="1:18" s="58" customFormat="1" ht="57.6" x14ac:dyDescent="0.3">
      <c r="A4" s="99" t="s">
        <v>167</v>
      </c>
      <c r="B4" s="61">
        <f>SUMIFS('Form 1.1c'!J:J, 'Form 1.1c'!$B:$B, "City of Roseville")*1000</f>
        <v>1316000</v>
      </c>
      <c r="C4" s="61">
        <f>SUMIFS('Form 1.1c'!K:K, 'Form 1.1c'!$B:$B, "City of Roseville")*1000</f>
        <v>1331000</v>
      </c>
      <c r="D4" s="61">
        <f>SUMIFS('Form 1.1c'!L:L, 'Form 1.1c'!$B:$B, "City of Roseville")*1000</f>
        <v>1346000</v>
      </c>
      <c r="E4" s="61">
        <f>SUMIFS('Form 1.1c'!M:M, 'Form 1.1c'!$B:$B, "City of Roseville")*1000</f>
        <v>1361000</v>
      </c>
      <c r="F4" s="61">
        <f>SUMIFS('Form 1.1c'!N:N, 'Form 1.1c'!$B:$B, "City of Roseville")*1000</f>
        <v>1374000</v>
      </c>
      <c r="G4" s="61">
        <f>SUMIFS('Form 1.1c'!O:O, 'Form 1.1c'!$B:$B, "City of Roseville")*1000</f>
        <v>1387000</v>
      </c>
      <c r="H4" s="65">
        <f>AVERAGE(E4:G4)*(1+$N$8)</f>
        <v>1388448.0227862576</v>
      </c>
      <c r="I4" s="61">
        <f t="shared" si="0"/>
        <v>1403047.9708726839</v>
      </c>
      <c r="J4" s="61">
        <f t="shared" si="0"/>
        <v>1417801.441799453</v>
      </c>
      <c r="K4" s="61">
        <f t="shared" si="0"/>
        <v>1432710.0499053535</v>
      </c>
      <c r="L4" s="84" t="s">
        <v>211</v>
      </c>
      <c r="N4" s="68">
        <f>0.15</f>
        <v>0.15</v>
      </c>
      <c r="O4" s="84" t="s">
        <v>165</v>
      </c>
    </row>
    <row r="5" spans="1:18" s="58" customFormat="1" ht="28.8" x14ac:dyDescent="0.3">
      <c r="A5" s="99" t="s">
        <v>191</v>
      </c>
      <c r="B5" s="61">
        <f>IF(0&lt;(B3-B4)/B3,B4,B3*(1-$N$5))</f>
        <v>1316000</v>
      </c>
      <c r="C5" s="61">
        <f t="shared" ref="C5:K5" si="1">IF(0&lt;(C3-C4)/C3,C4,C3*(1-$N$5))</f>
        <v>1331000</v>
      </c>
      <c r="D5" s="61">
        <f t="shared" si="1"/>
        <v>1346000</v>
      </c>
      <c r="E5" s="61">
        <f t="shared" si="1"/>
        <v>1361000</v>
      </c>
      <c r="F5" s="61">
        <f t="shared" si="1"/>
        <v>1374000</v>
      </c>
      <c r="G5" s="61">
        <f t="shared" si="1"/>
        <v>1387000</v>
      </c>
      <c r="H5" s="61">
        <f t="shared" si="1"/>
        <v>1388448.0227862576</v>
      </c>
      <c r="I5" s="61">
        <f t="shared" si="1"/>
        <v>1403047.9708726839</v>
      </c>
      <c r="J5" s="61">
        <f t="shared" si="1"/>
        <v>1417801.441799453</v>
      </c>
      <c r="K5" s="61">
        <f t="shared" si="1"/>
        <v>1432710.0499053535</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223</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224</v>
      </c>
      <c r="O7" s="101"/>
    </row>
    <row r="8" spans="1:18" s="58" customFormat="1" ht="28.8" x14ac:dyDescent="0.3">
      <c r="A8" s="99" t="s">
        <v>170</v>
      </c>
      <c r="B8" s="65">
        <v>220903.74791426898</v>
      </c>
      <c r="C8" s="65">
        <v>217799.58138131499</v>
      </c>
      <c r="D8" s="65">
        <v>218823.37164958802</v>
      </c>
      <c r="E8" s="65">
        <v>220140.47312763199</v>
      </c>
      <c r="F8" s="61">
        <f>AVERAGE(C8:E8)</f>
        <v>218921.14205284501</v>
      </c>
      <c r="G8" s="61">
        <f>F8</f>
        <v>218921.14205284501</v>
      </c>
      <c r="H8" s="61">
        <f t="shared" ref="H8:K8" si="2">G8</f>
        <v>218921.14205284501</v>
      </c>
      <c r="I8" s="61">
        <f t="shared" si="2"/>
        <v>218921.14205284501</v>
      </c>
      <c r="J8" s="61">
        <f t="shared" si="2"/>
        <v>218921.14205284501</v>
      </c>
      <c r="K8" s="61">
        <f t="shared" si="2"/>
        <v>218921.14205284501</v>
      </c>
      <c r="L8" s="84" t="s">
        <v>230</v>
      </c>
      <c r="N8" s="64">
        <v>1.0515300426679364E-2</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394800</v>
      </c>
      <c r="C10" s="61">
        <f t="shared" ref="C10:K10" si="3">C5*C9</f>
        <v>412610</v>
      </c>
      <c r="D10" s="61">
        <f t="shared" si="3"/>
        <v>444180</v>
      </c>
      <c r="E10" s="61">
        <f t="shared" si="3"/>
        <v>476349.99999999994</v>
      </c>
      <c r="F10" s="61">
        <f t="shared" si="3"/>
        <v>508380</v>
      </c>
      <c r="G10" s="61">
        <f t="shared" si="3"/>
        <v>527060</v>
      </c>
      <c r="H10" s="61">
        <f t="shared" si="3"/>
        <v>555379.209114503</v>
      </c>
      <c r="I10" s="61">
        <f t="shared" si="3"/>
        <v>589280.14776652725</v>
      </c>
      <c r="J10" s="61">
        <f t="shared" si="3"/>
        <v>609654.61997376475</v>
      </c>
      <c r="K10" s="61">
        <f t="shared" si="3"/>
        <v>644719.52245740907</v>
      </c>
      <c r="L10" s="84" t="s">
        <v>376</v>
      </c>
      <c r="N10" s="122"/>
      <c r="O10" s="60"/>
    </row>
    <row r="11" spans="1:18" s="58" customFormat="1" ht="28.8" x14ac:dyDescent="0.3">
      <c r="A11" s="99" t="s">
        <v>172</v>
      </c>
      <c r="B11" s="61">
        <f t="shared" ref="B11:K11" si="4">MAX(B3-SUM(B6:B8,B10), B3*$N$6)</f>
        <v>784296.25208573102</v>
      </c>
      <c r="C11" s="61">
        <f t="shared" si="4"/>
        <v>785590.41861868498</v>
      </c>
      <c r="D11" s="61">
        <f t="shared" si="4"/>
        <v>768996.62835041201</v>
      </c>
      <c r="E11" s="61">
        <f t="shared" si="4"/>
        <v>750509.52687236806</v>
      </c>
      <c r="F11" s="61">
        <f t="shared" si="4"/>
        <v>733698.85794715502</v>
      </c>
      <c r="G11" s="61">
        <f t="shared" si="4"/>
        <v>729018.85794715502</v>
      </c>
      <c r="H11" s="61">
        <f t="shared" si="4"/>
        <v>702062.50275603053</v>
      </c>
      <c r="I11" s="61">
        <f t="shared" si="4"/>
        <v>683685.96305180027</v>
      </c>
      <c r="J11" s="61">
        <f t="shared" si="4"/>
        <v>678999.13351123652</v>
      </c>
      <c r="K11" s="61">
        <f t="shared" si="4"/>
        <v>659786.83396989247</v>
      </c>
      <c r="L11" s="84" t="s">
        <v>203</v>
      </c>
    </row>
    <row r="12" spans="1:18" s="58" customFormat="1" ht="43.8" x14ac:dyDescent="0.35">
      <c r="A12" s="99" t="s">
        <v>194</v>
      </c>
      <c r="B12" s="61">
        <f t="shared" ref="B12:K12" si="5">B6*$N$3+B11*$N$2</f>
        <v>341482.58815812727</v>
      </c>
      <c r="C12" s="61">
        <f t="shared" si="5"/>
        <v>342046.06826657546</v>
      </c>
      <c r="D12" s="61">
        <f t="shared" si="5"/>
        <v>334821.13198376942</v>
      </c>
      <c r="E12" s="61">
        <f t="shared" si="5"/>
        <v>326771.84800022905</v>
      </c>
      <c r="F12" s="61">
        <f t="shared" si="5"/>
        <v>319452.4827501913</v>
      </c>
      <c r="G12" s="61">
        <f t="shared" si="5"/>
        <v>317414.81075019127</v>
      </c>
      <c r="H12" s="61">
        <f t="shared" si="5"/>
        <v>305678.01369997568</v>
      </c>
      <c r="I12" s="61">
        <f t="shared" si="5"/>
        <v>297676.86831275385</v>
      </c>
      <c r="J12" s="61">
        <f t="shared" si="5"/>
        <v>295636.22273079236</v>
      </c>
      <c r="K12" s="61">
        <f t="shared" si="5"/>
        <v>287271.18751049117</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0.24391613439866233</v>
      </c>
      <c r="C14" s="80">
        <f t="shared" si="6"/>
        <v>0.24155795781537814</v>
      </c>
      <c r="D14" s="80">
        <f t="shared" si="6"/>
        <v>0.23381363965347027</v>
      </c>
      <c r="E14" s="80">
        <f t="shared" si="6"/>
        <v>0.22582712370437391</v>
      </c>
      <c r="F14" s="80">
        <f t="shared" si="6"/>
        <v>0.21865330783722881</v>
      </c>
      <c r="G14" s="80">
        <f t="shared" si="6"/>
        <v>0.21519648186453647</v>
      </c>
      <c r="H14" s="80">
        <f t="shared" si="6"/>
        <v>0.20704802541438097</v>
      </c>
      <c r="I14" s="80">
        <f t="shared" si="6"/>
        <v>0.19953040535728664</v>
      </c>
      <c r="J14" s="80">
        <f t="shared" si="6"/>
        <v>0.19610052117863136</v>
      </c>
      <c r="K14" s="80">
        <f t="shared" si="6"/>
        <v>0.1885689918273685</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341482.58815812727</v>
      </c>
      <c r="C16" s="81">
        <f t="shared" si="8"/>
        <v>342046.06826657546</v>
      </c>
      <c r="D16" s="81">
        <f t="shared" si="8"/>
        <v>334821.13198376942</v>
      </c>
      <c r="E16" s="81">
        <f t="shared" si="8"/>
        <v>326771.84800022905</v>
      </c>
      <c r="F16" s="81">
        <f t="shared" si="8"/>
        <v>319452.4827501913</v>
      </c>
      <c r="G16" s="81">
        <f t="shared" si="8"/>
        <v>317414.81075019127</v>
      </c>
      <c r="H16" s="81">
        <f t="shared" si="8"/>
        <v>305678.01369997568</v>
      </c>
      <c r="I16" s="81">
        <f t="shared" si="8"/>
        <v>297676.86831275385</v>
      </c>
      <c r="J16" s="81">
        <f t="shared" si="8"/>
        <v>295636.22273079236</v>
      </c>
      <c r="K16" s="81">
        <f t="shared" si="8"/>
        <v>287271.18751049117</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ht="15.6" x14ac:dyDescent="0.3">
      <c r="A18" s="82"/>
      <c r="B18" s="82"/>
      <c r="C18" s="82"/>
      <c r="D18" s="82"/>
      <c r="E18" s="82"/>
      <c r="F18" s="82"/>
      <c r="G18" s="82"/>
      <c r="H18" s="82"/>
      <c r="I18" s="82"/>
      <c r="J18" s="82"/>
      <c r="K18" s="82"/>
      <c r="O18" s="4"/>
    </row>
  </sheetData>
  <mergeCells count="3">
    <mergeCell ref="B1:L1"/>
    <mergeCell ref="N1:O1"/>
    <mergeCell ref="B13:J1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85</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1.5a'!$B:$B, "City of Shasta Lake")*1000</f>
        <v>208000</v>
      </c>
      <c r="C3" s="61">
        <f>SUMIFS('Form 1.5a'!K:K, 'Form 1.5a'!$B:$B, "City of Shasta Lake")*1000</f>
        <v>210000</v>
      </c>
      <c r="D3" s="61">
        <f>SUMIFS('Form 1.5a'!L:L, 'Form 1.5a'!$B:$B, "City of Shasta Lake")*1000</f>
        <v>213000</v>
      </c>
      <c r="E3" s="61">
        <f>SUMIFS('Form 1.5a'!M:M, 'Form 1.5a'!$B:$B, "City of Shasta Lake")*1000</f>
        <v>215000</v>
      </c>
      <c r="F3" s="61">
        <f>SUMIFS('Form 1.5a'!N:N, 'Form 1.5a'!$B:$B, "City of Shasta Lake")*1000</f>
        <v>217000</v>
      </c>
      <c r="G3" s="61">
        <f>SUMIFS('Form 1.5a'!O:O, 'Form 1.5a'!$B:$B, "City of Shasta Lake")*1000</f>
        <v>219000</v>
      </c>
      <c r="H3" s="65">
        <f>AVERAGE(E3:G3)*(1+$N$8)</f>
        <v>219297.47657165219</v>
      </c>
      <c r="I3" s="65">
        <f t="shared" ref="I3:K4" si="0">H3*(1+$N$8)</f>
        <v>221619.27756080343</v>
      </c>
      <c r="J3" s="65">
        <f t="shared" si="0"/>
        <v>223965.66050099896</v>
      </c>
      <c r="K3" s="65">
        <f t="shared" si="0"/>
        <v>226336.88565240751</v>
      </c>
      <c r="L3" s="84" t="s">
        <v>209</v>
      </c>
      <c r="N3" s="62">
        <v>0.91839999999999999</v>
      </c>
      <c r="O3" s="8" t="s">
        <v>199</v>
      </c>
    </row>
    <row r="4" spans="1:18" s="58" customFormat="1" ht="57.6" x14ac:dyDescent="0.3">
      <c r="A4" s="99" t="s">
        <v>167</v>
      </c>
      <c r="B4" s="61">
        <f>SUMIFS('Form 1.1c'!J:J, 'Form 1.1c'!$B:$B, "City of Shasta Lake")*1000</f>
        <v>195000</v>
      </c>
      <c r="C4" s="61">
        <f>SUMIFS('Form 1.1c'!K:K, 'Form 1.1c'!$B:$B, "City of Shasta Lake")*1000</f>
        <v>198000</v>
      </c>
      <c r="D4" s="61">
        <f>SUMIFS('Form 1.1c'!L:L, 'Form 1.1c'!$B:$B, "City of Shasta Lake")*1000</f>
        <v>200000</v>
      </c>
      <c r="E4" s="61">
        <f>SUMIFS('Form 1.1c'!M:M, 'Form 1.1c'!$B:$B, "City of Shasta Lake")*1000</f>
        <v>202000</v>
      </c>
      <c r="F4" s="61">
        <f>SUMIFS('Form 1.1c'!N:N, 'Form 1.1c'!$B:$B, "City of Shasta Lake")*1000</f>
        <v>204000</v>
      </c>
      <c r="G4" s="61">
        <f>SUMIFS('Form 1.1c'!O:O, 'Form 1.1c'!$B:$B, "City of Shasta Lake")*1000</f>
        <v>206000</v>
      </c>
      <c r="H4" s="65">
        <f>AVERAGE(E4:G4)*(1+$N$8)</f>
        <v>206159.83972634585</v>
      </c>
      <c r="I4" s="61">
        <f t="shared" si="0"/>
        <v>208342.54664702257</v>
      </c>
      <c r="J4" s="61">
        <f t="shared" si="0"/>
        <v>210548.36286729854</v>
      </c>
      <c r="K4" s="61">
        <f t="shared" si="0"/>
        <v>212777.53305571948</v>
      </c>
      <c r="L4" s="84" t="s">
        <v>211</v>
      </c>
      <c r="N4" s="68">
        <f>0.15</f>
        <v>0.15</v>
      </c>
      <c r="O4" s="84" t="s">
        <v>165</v>
      </c>
    </row>
    <row r="5" spans="1:18" s="58" customFormat="1" ht="28.8" x14ac:dyDescent="0.3">
      <c r="A5" s="99" t="s">
        <v>191</v>
      </c>
      <c r="B5" s="61">
        <f>IF(0&lt;(B3-B4)/B3,B4,B3*(1-$N$5))</f>
        <v>195000</v>
      </c>
      <c r="C5" s="61">
        <f t="shared" ref="C5:K5" si="1">IF(0&lt;(C3-C4)/C3,C4,C3*(1-$N$5))</f>
        <v>198000</v>
      </c>
      <c r="D5" s="61">
        <f t="shared" si="1"/>
        <v>200000</v>
      </c>
      <c r="E5" s="61">
        <f t="shared" si="1"/>
        <v>202000</v>
      </c>
      <c r="F5" s="61">
        <f t="shared" si="1"/>
        <v>204000</v>
      </c>
      <c r="G5" s="61">
        <f t="shared" si="1"/>
        <v>206000</v>
      </c>
      <c r="H5" s="61">
        <f t="shared" si="1"/>
        <v>206159.83972634585</v>
      </c>
      <c r="I5" s="61">
        <f t="shared" si="1"/>
        <v>208342.54664702257</v>
      </c>
      <c r="J5" s="61">
        <f t="shared" si="1"/>
        <v>210548.36286729854</v>
      </c>
      <c r="K5" s="61">
        <f t="shared" si="1"/>
        <v>212777.53305571948</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1.0587449638950197E-2</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 t="shared" ref="B10:K10" si="2">B5*B9</f>
        <v>58500</v>
      </c>
      <c r="C10" s="61">
        <f t="shared" si="2"/>
        <v>61380</v>
      </c>
      <c r="D10" s="61">
        <f t="shared" si="2"/>
        <v>66000</v>
      </c>
      <c r="E10" s="61">
        <f t="shared" si="2"/>
        <v>70700</v>
      </c>
      <c r="F10" s="61">
        <f t="shared" si="2"/>
        <v>75480</v>
      </c>
      <c r="G10" s="61">
        <f t="shared" si="2"/>
        <v>78280</v>
      </c>
      <c r="H10" s="61">
        <f t="shared" si="2"/>
        <v>82463.935890538341</v>
      </c>
      <c r="I10" s="61">
        <f t="shared" si="2"/>
        <v>87503.869591749477</v>
      </c>
      <c r="J10" s="61">
        <f t="shared" si="2"/>
        <v>90535.796032938364</v>
      </c>
      <c r="K10" s="61">
        <f t="shared" si="2"/>
        <v>95749.889875073772</v>
      </c>
      <c r="L10" s="84" t="s">
        <v>376</v>
      </c>
      <c r="N10" s="122"/>
      <c r="O10" s="60"/>
    </row>
    <row r="11" spans="1:18" s="58" customFormat="1" ht="28.8" x14ac:dyDescent="0.3">
      <c r="A11" s="99" t="s">
        <v>172</v>
      </c>
      <c r="B11" s="61">
        <f t="shared" ref="B11:K11" si="3">MAX(B3-SUM(B6:B8,B10), B3*$N$6)</f>
        <v>149500</v>
      </c>
      <c r="C11" s="61">
        <f t="shared" si="3"/>
        <v>148620</v>
      </c>
      <c r="D11" s="61">
        <f t="shared" si="3"/>
        <v>147000</v>
      </c>
      <c r="E11" s="61">
        <f t="shared" si="3"/>
        <v>144300</v>
      </c>
      <c r="F11" s="61">
        <f t="shared" si="3"/>
        <v>141520</v>
      </c>
      <c r="G11" s="61">
        <f t="shared" si="3"/>
        <v>140720</v>
      </c>
      <c r="H11" s="61">
        <f t="shared" si="3"/>
        <v>136833.54068111384</v>
      </c>
      <c r="I11" s="61">
        <f t="shared" si="3"/>
        <v>134115.40796905395</v>
      </c>
      <c r="J11" s="61">
        <f t="shared" si="3"/>
        <v>133429.86446806061</v>
      </c>
      <c r="K11" s="61">
        <f t="shared" si="3"/>
        <v>130586.99577733374</v>
      </c>
      <c r="L11" s="84" t="s">
        <v>203</v>
      </c>
    </row>
    <row r="12" spans="1:18" s="58" customFormat="1" ht="43.8" x14ac:dyDescent="0.35">
      <c r="A12" s="99" t="s">
        <v>194</v>
      </c>
      <c r="B12" s="61">
        <f t="shared" ref="B12:K12" si="4">B6*$N$3+B11*$N$2</f>
        <v>65092.3</v>
      </c>
      <c r="C12" s="61">
        <f t="shared" si="4"/>
        <v>64709.148000000001</v>
      </c>
      <c r="D12" s="61">
        <f t="shared" si="4"/>
        <v>64003.8</v>
      </c>
      <c r="E12" s="61">
        <f t="shared" si="4"/>
        <v>62828.22</v>
      </c>
      <c r="F12" s="61">
        <f t="shared" si="4"/>
        <v>61617.808000000005</v>
      </c>
      <c r="G12" s="61">
        <f t="shared" si="4"/>
        <v>61269.488000000005</v>
      </c>
      <c r="H12" s="61">
        <f t="shared" si="4"/>
        <v>59577.323612556967</v>
      </c>
      <c r="I12" s="61">
        <f t="shared" si="4"/>
        <v>58393.84862972609</v>
      </c>
      <c r="J12" s="61">
        <f t="shared" si="4"/>
        <v>58095.362989393587</v>
      </c>
      <c r="K12" s="61">
        <f t="shared" si="4"/>
        <v>56857.577961451112</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5">B12/B3</f>
        <v>0.31294375000000002</v>
      </c>
      <c r="C14" s="80">
        <f t="shared" si="5"/>
        <v>0.30813879999999999</v>
      </c>
      <c r="D14" s="80">
        <f t="shared" si="5"/>
        <v>0.30048732394366201</v>
      </c>
      <c r="E14" s="80">
        <f t="shared" si="5"/>
        <v>0.29222427906976745</v>
      </c>
      <c r="F14" s="80">
        <f t="shared" si="5"/>
        <v>0.28395303225806456</v>
      </c>
      <c r="G14" s="80">
        <f t="shared" si="5"/>
        <v>0.27976935159817357</v>
      </c>
      <c r="H14" s="80">
        <f t="shared" si="5"/>
        <v>0.27167354838709673</v>
      </c>
      <c r="I14" s="80">
        <f t="shared" si="5"/>
        <v>0.26348722580645162</v>
      </c>
      <c r="J14" s="80">
        <f t="shared" si="5"/>
        <v>0.25939406451612906</v>
      </c>
      <c r="K14" s="80">
        <f t="shared" si="5"/>
        <v>0.2512077419354839</v>
      </c>
      <c r="L14" s="84" t="s">
        <v>206</v>
      </c>
    </row>
    <row r="15" spans="1:18" s="58" customFormat="1" ht="30.6" thickBot="1" x14ac:dyDescent="0.4">
      <c r="A15" s="99" t="s">
        <v>196</v>
      </c>
      <c r="B15" s="79">
        <f>$K$13*B14</f>
        <v>0</v>
      </c>
      <c r="C15" s="79">
        <f t="shared" ref="C15:K15" si="6">$K$13*C14</f>
        <v>0</v>
      </c>
      <c r="D15" s="79">
        <f t="shared" si="6"/>
        <v>0</v>
      </c>
      <c r="E15" s="79">
        <f t="shared" si="6"/>
        <v>0</v>
      </c>
      <c r="F15" s="79">
        <f t="shared" si="6"/>
        <v>0</v>
      </c>
      <c r="G15" s="79">
        <f t="shared" si="6"/>
        <v>0</v>
      </c>
      <c r="H15" s="79">
        <f t="shared" si="6"/>
        <v>0</v>
      </c>
      <c r="I15" s="79">
        <f t="shared" si="6"/>
        <v>0</v>
      </c>
      <c r="J15" s="79">
        <f t="shared" si="6"/>
        <v>0</v>
      </c>
      <c r="K15" s="79">
        <f t="shared" si="6"/>
        <v>0</v>
      </c>
      <c r="L15" s="84" t="s">
        <v>250</v>
      </c>
    </row>
    <row r="16" spans="1:18" ht="29.4" thickBot="1" x14ac:dyDescent="0.35">
      <c r="A16" s="179" t="s">
        <v>197</v>
      </c>
      <c r="B16" s="81">
        <f t="shared" ref="B16:K16" si="7">B12-B15</f>
        <v>65092.3</v>
      </c>
      <c r="C16" s="81">
        <f t="shared" si="7"/>
        <v>64709.148000000001</v>
      </c>
      <c r="D16" s="81">
        <f t="shared" si="7"/>
        <v>64003.8</v>
      </c>
      <c r="E16" s="81">
        <f t="shared" si="7"/>
        <v>62828.22</v>
      </c>
      <c r="F16" s="81">
        <f t="shared" si="7"/>
        <v>61617.808000000005</v>
      </c>
      <c r="G16" s="81">
        <f t="shared" si="7"/>
        <v>61269.488000000005</v>
      </c>
      <c r="H16" s="81">
        <f t="shared" si="7"/>
        <v>59577.323612556967</v>
      </c>
      <c r="I16" s="81">
        <f t="shared" si="7"/>
        <v>58393.84862972609</v>
      </c>
      <c r="J16" s="81">
        <f t="shared" si="7"/>
        <v>58095.362989393587</v>
      </c>
      <c r="K16" s="81">
        <f t="shared" si="7"/>
        <v>56857.577961451112</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12" max="12" width="49.33203125" customWidth="1"/>
    <col min="15" max="15" width="39.5546875" bestFit="1" customWidth="1"/>
  </cols>
  <sheetData>
    <row r="1" spans="1:15" s="58" customFormat="1" x14ac:dyDescent="0.3">
      <c r="A1" s="97" t="s">
        <v>51</v>
      </c>
      <c r="B1" s="199" t="s">
        <v>173</v>
      </c>
      <c r="C1" s="200"/>
      <c r="D1" s="200"/>
      <c r="E1" s="200"/>
      <c r="F1" s="200"/>
      <c r="G1" s="200"/>
      <c r="H1" s="200"/>
      <c r="I1" s="200"/>
      <c r="J1" s="200"/>
      <c r="K1" s="200"/>
      <c r="L1" s="201"/>
      <c r="N1" s="202" t="s">
        <v>193</v>
      </c>
      <c r="O1" s="203"/>
    </row>
    <row r="2" spans="1:15" s="58" customFormat="1" ht="15.6" x14ac:dyDescent="0.35">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369</v>
      </c>
    </row>
    <row r="3" spans="1:15" s="58" customFormat="1" ht="72.599999999999994" x14ac:dyDescent="0.35">
      <c r="A3" s="99" t="s">
        <v>166</v>
      </c>
      <c r="B3" s="61">
        <v>118577.85822888365</v>
      </c>
      <c r="C3" s="61">
        <v>118904.04866054526</v>
      </c>
      <c r="D3" s="61">
        <v>119256.05413960601</v>
      </c>
      <c r="E3" s="61">
        <v>119539.704</v>
      </c>
      <c r="F3" s="61">
        <v>119837.80799999999</v>
      </c>
      <c r="G3" s="61">
        <v>120135.91200000001</v>
      </c>
      <c r="H3" s="65">
        <f>AVERAGE(E3:G3)*(1+$N$8)</f>
        <v>120326.04206375309</v>
      </c>
      <c r="I3" s="65">
        <f t="shared" ref="I3:K4" si="0">H3*(1+$N$8)</f>
        <v>120816.2652535173</v>
      </c>
      <c r="J3" s="65">
        <f t="shared" si="0"/>
        <v>121308.48567323822</v>
      </c>
      <c r="K3" s="65">
        <f t="shared" si="0"/>
        <v>121802.71145987793</v>
      </c>
      <c r="L3" s="84" t="s">
        <v>254</v>
      </c>
      <c r="N3" s="62">
        <v>0.91839999999999999</v>
      </c>
      <c r="O3" s="8" t="s">
        <v>199</v>
      </c>
    </row>
    <row r="4" spans="1:15" s="58" customFormat="1" ht="57.6" x14ac:dyDescent="0.3">
      <c r="A4" s="99" t="s">
        <v>167</v>
      </c>
      <c r="B4" s="61">
        <f>SUMIFS('Form 1.1c'!J:J, 'Form 1.1c'!$B:$B, "City of Ukiah")*1000</f>
        <v>112000</v>
      </c>
      <c r="C4" s="61">
        <f>SUMIFS('Form 1.1c'!K:K, 'Form 1.1c'!$B:$B, "City of Ukiah")*1000</f>
        <v>112000</v>
      </c>
      <c r="D4" s="61">
        <f>SUMIFS('Form 1.1c'!L:L, 'Form 1.1c'!$B:$B, "City of Ukiah")*1000</f>
        <v>113000</v>
      </c>
      <c r="E4" s="61">
        <f>SUMIFS('Form 1.1c'!M:M, 'Form 1.1c'!$B:$B, "City of Ukiah")*1000</f>
        <v>114000</v>
      </c>
      <c r="F4" s="61">
        <f>SUMIFS('Form 1.1c'!N:N, 'Form 1.1c'!$B:$B, "City of Ukiah")*1000</f>
        <v>114000</v>
      </c>
      <c r="G4" s="61">
        <f>SUMIFS('Form 1.1c'!O:O, 'Form 1.1c'!$B:$B, "City of Ukiah")*1000</f>
        <v>115000</v>
      </c>
      <c r="H4" s="65">
        <f>AVERAGE(E4:G4)*(1+$N$8)</f>
        <v>114799.14148593046</v>
      </c>
      <c r="I4" s="61">
        <f t="shared" si="0"/>
        <v>115266.8473986007</v>
      </c>
      <c r="J4" s="61">
        <f t="shared" si="0"/>
        <v>115736.45880305351</v>
      </c>
      <c r="K4" s="61">
        <f t="shared" si="0"/>
        <v>116207.98346249826</v>
      </c>
      <c r="L4" s="84" t="s">
        <v>211</v>
      </c>
      <c r="N4" s="68">
        <f>0.15</f>
        <v>0.15</v>
      </c>
      <c r="O4" s="59" t="s">
        <v>165</v>
      </c>
    </row>
    <row r="5" spans="1:15" s="58" customFormat="1" ht="28.8" x14ac:dyDescent="0.3">
      <c r="A5" s="99" t="s">
        <v>191</v>
      </c>
      <c r="B5" s="61">
        <f>IF(0&lt;(B3-B4)/B3,B4,B3*(1-$N$5))</f>
        <v>112000</v>
      </c>
      <c r="C5" s="61">
        <f t="shared" ref="C5:K5" si="1">IF(0&lt;(C3-C4)/C3,C4,C3*(1-$N$5))</f>
        <v>112000</v>
      </c>
      <c r="D5" s="61">
        <f t="shared" si="1"/>
        <v>113000</v>
      </c>
      <c r="E5" s="61">
        <f t="shared" si="1"/>
        <v>114000</v>
      </c>
      <c r="F5" s="61">
        <f t="shared" si="1"/>
        <v>114000</v>
      </c>
      <c r="G5" s="61">
        <f t="shared" si="1"/>
        <v>115000</v>
      </c>
      <c r="H5" s="61">
        <f t="shared" si="1"/>
        <v>114799.14148593046</v>
      </c>
      <c r="I5" s="61">
        <f t="shared" si="1"/>
        <v>115266.8473986007</v>
      </c>
      <c r="J5" s="61">
        <f t="shared" si="1"/>
        <v>115736.45880305351</v>
      </c>
      <c r="K5" s="61">
        <f t="shared" si="1"/>
        <v>116207.98346249826</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15843</v>
      </c>
      <c r="C8" s="61">
        <v>15937.000000000002</v>
      </c>
      <c r="D8" s="61">
        <v>15936</v>
      </c>
      <c r="E8" s="61">
        <v>15946</v>
      </c>
      <c r="F8" s="61">
        <v>15971</v>
      </c>
      <c r="G8" s="61">
        <v>15957</v>
      </c>
      <c r="H8" s="65">
        <f>AVERAGE(E8:G8)</f>
        <v>15958</v>
      </c>
      <c r="I8" s="65">
        <f t="shared" ref="I8:K8" si="2">H8</f>
        <v>15958</v>
      </c>
      <c r="J8" s="65">
        <f t="shared" si="2"/>
        <v>15958</v>
      </c>
      <c r="K8" s="65">
        <f t="shared" si="2"/>
        <v>15958</v>
      </c>
      <c r="L8" s="84" t="s">
        <v>244</v>
      </c>
      <c r="N8" s="64">
        <v>4.0741237836483535E-3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 t="shared" ref="B10:K10" si="3">B5*B9</f>
        <v>33600</v>
      </c>
      <c r="C10" s="61">
        <f t="shared" si="3"/>
        <v>34720</v>
      </c>
      <c r="D10" s="61">
        <f t="shared" si="3"/>
        <v>37290</v>
      </c>
      <c r="E10" s="61">
        <f t="shared" si="3"/>
        <v>39900</v>
      </c>
      <c r="F10" s="61">
        <f t="shared" si="3"/>
        <v>42180</v>
      </c>
      <c r="G10" s="61">
        <f t="shared" si="3"/>
        <v>43700</v>
      </c>
      <c r="H10" s="61">
        <f t="shared" si="3"/>
        <v>45919.656594372187</v>
      </c>
      <c r="I10" s="61">
        <f t="shared" si="3"/>
        <v>48412.075907412291</v>
      </c>
      <c r="J10" s="61">
        <f t="shared" si="3"/>
        <v>49766.67728531301</v>
      </c>
      <c r="K10" s="61">
        <f t="shared" si="3"/>
        <v>52293.592558124219</v>
      </c>
      <c r="L10" s="84" t="s">
        <v>376</v>
      </c>
      <c r="N10" s="122"/>
      <c r="O10" s="60"/>
    </row>
    <row r="11" spans="1:15" s="58" customFormat="1" ht="28.8" x14ac:dyDescent="0.3">
      <c r="A11" s="99" t="s">
        <v>172</v>
      </c>
      <c r="B11" s="61">
        <f t="shared" ref="B11:K11" si="4">MAX(B3-SUM(B6:B8,B10), B3*$N$6)</f>
        <v>69134.858228883648</v>
      </c>
      <c r="C11" s="61">
        <f t="shared" si="4"/>
        <v>68247.048660545261</v>
      </c>
      <c r="D11" s="61">
        <f t="shared" si="4"/>
        <v>66030.054139606014</v>
      </c>
      <c r="E11" s="61">
        <f t="shared" si="4"/>
        <v>63693.703999999998</v>
      </c>
      <c r="F11" s="61">
        <f t="shared" si="4"/>
        <v>61686.80799999999</v>
      </c>
      <c r="G11" s="61">
        <f t="shared" si="4"/>
        <v>60478.912000000011</v>
      </c>
      <c r="H11" s="61">
        <f t="shared" si="4"/>
        <v>58448.385469380904</v>
      </c>
      <c r="I11" s="61">
        <f t="shared" si="4"/>
        <v>56446.189346105006</v>
      </c>
      <c r="J11" s="61">
        <f t="shared" si="4"/>
        <v>55583.808387925208</v>
      </c>
      <c r="K11" s="61">
        <f t="shared" si="4"/>
        <v>53551.118901753711</v>
      </c>
      <c r="L11" s="84" t="s">
        <v>203</v>
      </c>
    </row>
    <row r="12" spans="1:15" s="58" customFormat="1" ht="43.8" x14ac:dyDescent="0.35">
      <c r="A12" s="99" t="s">
        <v>194</v>
      </c>
      <c r="B12" s="61">
        <f t="shared" ref="B12:K12" si="5">B6*$N$3+B11*$N$2</f>
        <v>30101.31727285594</v>
      </c>
      <c r="C12" s="61">
        <f t="shared" si="5"/>
        <v>29714.764986801409</v>
      </c>
      <c r="D12" s="61">
        <f t="shared" si="5"/>
        <v>28749.485572384459</v>
      </c>
      <c r="E12" s="61">
        <f t="shared" si="5"/>
        <v>27732.238721599999</v>
      </c>
      <c r="F12" s="61">
        <f t="shared" si="5"/>
        <v>26858.436203199995</v>
      </c>
      <c r="G12" s="61">
        <f t="shared" si="5"/>
        <v>26332.518284800004</v>
      </c>
      <c r="H12" s="61">
        <f t="shared" si="5"/>
        <v>25448.427033368447</v>
      </c>
      <c r="I12" s="61">
        <f t="shared" si="5"/>
        <v>24576.670841294119</v>
      </c>
      <c r="J12" s="61">
        <f t="shared" si="5"/>
        <v>24201.190172102637</v>
      </c>
      <c r="K12" s="61">
        <f t="shared" si="5"/>
        <v>23316.157169823568</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6">B12/B3</f>
        <v>0.25385276578999422</v>
      </c>
      <c r="C14" s="80">
        <f t="shared" si="6"/>
        <v>0.24990540962682425</v>
      </c>
      <c r="D14" s="80">
        <f t="shared" si="6"/>
        <v>0.24107359395548283</v>
      </c>
      <c r="E14" s="80">
        <f t="shared" si="6"/>
        <v>0.23199186373759131</v>
      </c>
      <c r="F14" s="80">
        <f t="shared" si="6"/>
        <v>0.22412322664646869</v>
      </c>
      <c r="G14" s="80">
        <f t="shared" si="6"/>
        <v>0.21918939846063684</v>
      </c>
      <c r="H14" s="80">
        <f t="shared" si="6"/>
        <v>0.21149558812783811</v>
      </c>
      <c r="I14" s="80">
        <f t="shared" si="6"/>
        <v>0.20342187196171935</v>
      </c>
      <c r="J14" s="80">
        <f t="shared" si="6"/>
        <v>0.19950121409719027</v>
      </c>
      <c r="K14" s="80">
        <f t="shared" si="6"/>
        <v>0.19142560038578418</v>
      </c>
      <c r="L14" s="84" t="s">
        <v>206</v>
      </c>
    </row>
    <row r="15" spans="1:15"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5" ht="29.4" thickBot="1" x14ac:dyDescent="0.35">
      <c r="A16" s="179" t="s">
        <v>197</v>
      </c>
      <c r="B16" s="81">
        <f t="shared" ref="B16:K16" si="8">B12-B15</f>
        <v>30101.31727285594</v>
      </c>
      <c r="C16" s="81">
        <f t="shared" si="8"/>
        <v>29714.764986801409</v>
      </c>
      <c r="D16" s="81">
        <f t="shared" si="8"/>
        <v>28749.485572384459</v>
      </c>
      <c r="E16" s="81">
        <f t="shared" si="8"/>
        <v>27732.238721599999</v>
      </c>
      <c r="F16" s="81">
        <f t="shared" si="8"/>
        <v>26858.436203199995</v>
      </c>
      <c r="G16" s="81">
        <f t="shared" si="8"/>
        <v>26332.518284800004</v>
      </c>
      <c r="H16" s="81">
        <f t="shared" si="8"/>
        <v>25448.427033368447</v>
      </c>
      <c r="I16" s="81">
        <f t="shared" si="8"/>
        <v>24576.670841294119</v>
      </c>
      <c r="J16" s="81">
        <f t="shared" si="8"/>
        <v>24201.190172102637</v>
      </c>
      <c r="K16" s="81">
        <f t="shared" si="8"/>
        <v>23316.157169823568</v>
      </c>
      <c r="L16" s="88" t="s">
        <v>265</v>
      </c>
      <c r="M16" s="58"/>
      <c r="N16" s="58"/>
      <c r="O16" s="58"/>
    </row>
    <row r="17" spans="1:15" x14ac:dyDescent="0.3">
      <c r="A17" s="82"/>
      <c r="B17" s="82"/>
      <c r="C17" s="82"/>
      <c r="D17" s="82"/>
      <c r="E17" s="82"/>
      <c r="F17" s="82"/>
      <c r="G17" s="82"/>
      <c r="H17" s="82"/>
      <c r="I17" s="82"/>
      <c r="J17" s="82"/>
      <c r="K17" s="82"/>
      <c r="L17" s="58"/>
      <c r="M17" s="58"/>
      <c r="N17" s="58"/>
      <c r="O17" s="58"/>
    </row>
    <row r="18" spans="1:15" ht="15.6" x14ac:dyDescent="0.3">
      <c r="A18" s="82"/>
      <c r="B18" s="82"/>
      <c r="C18" s="82"/>
      <c r="D18" s="82"/>
      <c r="E18" s="82"/>
      <c r="F18" s="82"/>
      <c r="G18" s="82"/>
      <c r="H18" s="82"/>
      <c r="I18" s="82"/>
      <c r="J18" s="82"/>
      <c r="K18" s="82"/>
      <c r="L18" s="58"/>
      <c r="M18" s="58"/>
      <c r="O18" s="3"/>
    </row>
  </sheetData>
  <mergeCells count="3">
    <mergeCell ref="B1:L1"/>
    <mergeCell ref="N1:O1"/>
    <mergeCell ref="B13:J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zoomScale="90" zoomScaleNormal="90" workbookViewId="0"/>
  </sheetViews>
  <sheetFormatPr defaultColWidth="9.109375" defaultRowHeight="14.4" x14ac:dyDescent="0.3"/>
  <cols>
    <col min="1" max="1" width="9.88671875" style="78" customWidth="1"/>
    <col min="2" max="2" width="45.88671875" style="78" customWidth="1"/>
    <col min="3" max="12" width="10.109375" style="78" customWidth="1"/>
    <col min="13" max="13" width="10.88671875" style="77" customWidth="1"/>
    <col min="14" max="15" width="9.109375" style="78"/>
    <col min="16" max="16" width="11.33203125" style="78" customWidth="1"/>
    <col min="17" max="17" width="11.5546875" style="47" bestFit="1" customWidth="1"/>
    <col min="18" max="92" width="9.109375" style="47"/>
    <col min="93" max="93" width="9.109375" style="47" customWidth="1"/>
    <col min="94" max="16384" width="9.109375" style="47"/>
  </cols>
  <sheetData>
    <row r="1" spans="1:17" s="39" customFormat="1" ht="15.6" x14ac:dyDescent="0.25">
      <c r="A1" s="36" t="s">
        <v>114</v>
      </c>
      <c r="B1" s="36"/>
      <c r="C1" s="37"/>
      <c r="D1" s="36"/>
      <c r="E1" s="36"/>
      <c r="F1" s="36"/>
      <c r="G1" s="36"/>
      <c r="H1" s="11"/>
      <c r="I1" s="36"/>
      <c r="J1" s="36"/>
      <c r="K1" s="36"/>
      <c r="L1" s="36"/>
      <c r="M1" s="36"/>
      <c r="N1" s="36"/>
      <c r="O1" s="36"/>
      <c r="P1" s="38"/>
      <c r="Q1" s="117"/>
    </row>
    <row r="2" spans="1:17" s="39" customFormat="1" ht="15.6" x14ac:dyDescent="0.25">
      <c r="A2" s="13" t="s">
        <v>156</v>
      </c>
      <c r="B2" s="40"/>
      <c r="C2" s="40"/>
      <c r="D2" s="40"/>
      <c r="E2" s="40"/>
      <c r="F2" s="40"/>
      <c r="G2" s="40"/>
      <c r="H2" s="11"/>
      <c r="I2" s="40"/>
      <c r="J2" s="40"/>
      <c r="K2" s="36"/>
      <c r="L2" s="36"/>
      <c r="M2" s="36"/>
      <c r="N2" s="36"/>
      <c r="O2" s="36"/>
      <c r="P2" s="38"/>
      <c r="Q2" s="117"/>
    </row>
    <row r="3" spans="1:17" s="39" customFormat="1" ht="15.6" x14ac:dyDescent="0.25">
      <c r="A3" s="41" t="s">
        <v>115</v>
      </c>
      <c r="B3" s="41"/>
      <c r="C3" s="41"/>
      <c r="D3" s="41"/>
      <c r="E3" s="41"/>
      <c r="F3" s="41"/>
      <c r="G3" s="41"/>
      <c r="H3" s="11"/>
      <c r="I3" s="36"/>
      <c r="J3" s="36"/>
      <c r="K3" s="36"/>
      <c r="L3" s="36"/>
      <c r="M3" s="36"/>
      <c r="N3" s="36"/>
      <c r="O3" s="36"/>
      <c r="P3" s="38"/>
      <c r="Q3" s="117"/>
    </row>
    <row r="4" spans="1:17" s="39" customFormat="1" ht="15.6" x14ac:dyDescent="0.25">
      <c r="A4" s="41"/>
      <c r="B4" s="41"/>
      <c r="C4" s="41"/>
      <c r="D4" s="41"/>
      <c r="E4" s="41"/>
      <c r="F4" s="116" t="s">
        <v>164</v>
      </c>
      <c r="G4" s="41"/>
      <c r="H4" s="11"/>
      <c r="I4" s="36"/>
      <c r="J4" s="36"/>
      <c r="K4" s="36"/>
      <c r="L4" s="36"/>
      <c r="M4" s="36"/>
      <c r="N4" s="36"/>
      <c r="O4" s="36"/>
      <c r="P4" s="38"/>
      <c r="Q4" s="117"/>
    </row>
    <row r="5" spans="1:17" s="44" customFormat="1" ht="15" x14ac:dyDescent="0.3">
      <c r="A5" s="42"/>
      <c r="B5" s="42"/>
      <c r="C5" s="42"/>
      <c r="D5" s="42"/>
      <c r="E5" s="42"/>
      <c r="F5" s="42"/>
      <c r="G5" s="11"/>
      <c r="H5" s="42"/>
      <c r="I5" s="42"/>
      <c r="J5" s="42"/>
      <c r="K5" s="42"/>
      <c r="L5" s="42"/>
      <c r="M5" s="43"/>
    </row>
    <row r="6" spans="1:17" ht="56.25" customHeight="1" x14ac:dyDescent="0.25">
      <c r="A6" s="45" t="s">
        <v>116</v>
      </c>
      <c r="B6" s="46" t="s">
        <v>39</v>
      </c>
      <c r="C6" s="19">
        <v>2014</v>
      </c>
      <c r="D6" s="19">
        <v>2015</v>
      </c>
      <c r="E6" s="19">
        <v>2016</v>
      </c>
      <c r="F6" s="19">
        <v>2017</v>
      </c>
      <c r="G6" s="19">
        <v>2018</v>
      </c>
      <c r="H6" s="19">
        <v>2019</v>
      </c>
      <c r="I6" s="19">
        <v>2020</v>
      </c>
      <c r="J6" s="19">
        <v>2021</v>
      </c>
      <c r="K6" s="19">
        <v>2022</v>
      </c>
      <c r="L6" s="19">
        <v>2013</v>
      </c>
      <c r="M6" s="19">
        <v>2024</v>
      </c>
      <c r="N6" s="19">
        <v>2025</v>
      </c>
      <c r="O6" s="19">
        <v>2026</v>
      </c>
      <c r="P6" s="76" t="s">
        <v>40</v>
      </c>
      <c r="Q6" s="67" t="s">
        <v>153</v>
      </c>
    </row>
    <row r="7" spans="1:17" ht="13.2" x14ac:dyDescent="0.25">
      <c r="A7" s="48"/>
      <c r="B7" s="34" t="s">
        <v>113</v>
      </c>
      <c r="C7" s="49">
        <v>1118</v>
      </c>
      <c r="D7" s="49">
        <v>1118</v>
      </c>
      <c r="E7" s="49">
        <v>1116</v>
      </c>
      <c r="F7" s="49">
        <v>1122</v>
      </c>
      <c r="G7" s="49">
        <v>1128</v>
      </c>
      <c r="H7" s="49">
        <v>1132</v>
      </c>
      <c r="I7" s="49">
        <v>1137</v>
      </c>
      <c r="J7" s="49">
        <v>1144</v>
      </c>
      <c r="K7" s="49">
        <v>1153</v>
      </c>
      <c r="L7" s="49">
        <v>1161</v>
      </c>
      <c r="M7" s="49">
        <v>1166</v>
      </c>
      <c r="N7" s="49">
        <v>1170</v>
      </c>
      <c r="O7" s="49">
        <v>1175</v>
      </c>
      <c r="P7" s="50">
        <v>4.1524955548901676E-3</v>
      </c>
      <c r="Q7" s="69">
        <f>SUM(C7:O7)</f>
        <v>14840</v>
      </c>
    </row>
    <row r="8" spans="1:17" ht="13.2" x14ac:dyDescent="0.25">
      <c r="A8" s="48"/>
      <c r="B8" s="34" t="s">
        <v>117</v>
      </c>
      <c r="C8" s="49">
        <v>1491</v>
      </c>
      <c r="D8" s="49">
        <v>1491</v>
      </c>
      <c r="E8" s="49">
        <v>1487</v>
      </c>
      <c r="F8" s="49">
        <v>1496</v>
      </c>
      <c r="G8" s="49">
        <v>1504</v>
      </c>
      <c r="H8" s="49">
        <v>1509</v>
      </c>
      <c r="I8" s="49">
        <v>1517</v>
      </c>
      <c r="J8" s="49">
        <v>1526</v>
      </c>
      <c r="K8" s="49">
        <v>1537</v>
      </c>
      <c r="L8" s="49">
        <v>1548</v>
      </c>
      <c r="M8" s="49">
        <v>1554</v>
      </c>
      <c r="N8" s="49">
        <v>1561</v>
      </c>
      <c r="O8" s="49">
        <v>1566</v>
      </c>
      <c r="P8" s="50">
        <v>4.0981714474523923E-3</v>
      </c>
      <c r="Q8" s="69">
        <f t="shared" ref="Q8:Q58" si="0">SUM(C8:O8)</f>
        <v>19787</v>
      </c>
    </row>
    <row r="9" spans="1:17" ht="13.2" x14ac:dyDescent="0.25">
      <c r="A9" s="48"/>
      <c r="B9" s="34" t="s">
        <v>118</v>
      </c>
      <c r="C9" s="49">
        <v>35</v>
      </c>
      <c r="D9" s="49">
        <v>35</v>
      </c>
      <c r="E9" s="49">
        <v>35</v>
      </c>
      <c r="F9" s="49">
        <v>35</v>
      </c>
      <c r="G9" s="49">
        <v>35</v>
      </c>
      <c r="H9" s="49">
        <v>35</v>
      </c>
      <c r="I9" s="49">
        <v>35</v>
      </c>
      <c r="J9" s="49">
        <v>36</v>
      </c>
      <c r="K9" s="49">
        <v>36</v>
      </c>
      <c r="L9" s="49">
        <v>36</v>
      </c>
      <c r="M9" s="49">
        <v>36</v>
      </c>
      <c r="N9" s="49">
        <v>37</v>
      </c>
      <c r="O9" s="49">
        <v>37</v>
      </c>
      <c r="P9" s="50">
        <v>4.6415597509290585E-3</v>
      </c>
      <c r="Q9" s="69">
        <f t="shared" si="0"/>
        <v>463</v>
      </c>
    </row>
    <row r="10" spans="1:17" ht="13.2" x14ac:dyDescent="0.25">
      <c r="A10" s="48"/>
      <c r="B10" s="34" t="s">
        <v>119</v>
      </c>
      <c r="C10" s="49">
        <v>36753</v>
      </c>
      <c r="D10" s="49">
        <v>36442.957525907826</v>
      </c>
      <c r="E10" s="49">
        <v>36461.563945028814</v>
      </c>
      <c r="F10" s="49">
        <v>36733.569625949669</v>
      </c>
      <c r="G10" s="49">
        <v>36986.249324615885</v>
      </c>
      <c r="H10" s="49">
        <v>37180.159397942894</v>
      </c>
      <c r="I10" s="49">
        <v>37400.288611957585</v>
      </c>
      <c r="J10" s="49">
        <v>37689.640777266191</v>
      </c>
      <c r="K10" s="49">
        <v>37999.383069383039</v>
      </c>
      <c r="L10" s="49">
        <v>38342.131422687969</v>
      </c>
      <c r="M10" s="49">
        <v>38592.951856530271</v>
      </c>
      <c r="N10" s="49">
        <v>38792.779598847788</v>
      </c>
      <c r="O10" s="49">
        <v>39012.410656314089</v>
      </c>
      <c r="P10" s="50">
        <v>4.98404276615938E-3</v>
      </c>
      <c r="Q10" s="69">
        <f t="shared" si="0"/>
        <v>488387.08581243199</v>
      </c>
    </row>
    <row r="11" spans="1:17" ht="13.2" x14ac:dyDescent="0.25">
      <c r="A11" s="48"/>
      <c r="B11" s="34" t="s">
        <v>10</v>
      </c>
      <c r="C11" s="49">
        <v>3313</v>
      </c>
      <c r="D11" s="49">
        <v>3313</v>
      </c>
      <c r="E11" s="49">
        <v>3305</v>
      </c>
      <c r="F11" s="49">
        <v>3324</v>
      </c>
      <c r="G11" s="49">
        <v>3341</v>
      </c>
      <c r="H11" s="49">
        <v>3354</v>
      </c>
      <c r="I11" s="49">
        <v>3370</v>
      </c>
      <c r="J11" s="49">
        <v>3390</v>
      </c>
      <c r="K11" s="49">
        <v>3415</v>
      </c>
      <c r="L11" s="49">
        <v>3438</v>
      </c>
      <c r="M11" s="49">
        <v>3454</v>
      </c>
      <c r="N11" s="49">
        <v>3467</v>
      </c>
      <c r="O11" s="49">
        <v>3480</v>
      </c>
      <c r="P11" s="50">
        <v>4.1065898989298688E-3</v>
      </c>
      <c r="Q11" s="69">
        <f t="shared" si="0"/>
        <v>43964</v>
      </c>
    </row>
    <row r="12" spans="1:17" ht="13.2" x14ac:dyDescent="0.25">
      <c r="A12" s="51" t="s">
        <v>120</v>
      </c>
      <c r="B12" s="52"/>
      <c r="C12" s="49">
        <v>42710</v>
      </c>
      <c r="D12" s="49">
        <v>42399.957525907826</v>
      </c>
      <c r="E12" s="49">
        <v>42404.563945028814</v>
      </c>
      <c r="F12" s="49">
        <v>42710.569625949669</v>
      </c>
      <c r="G12" s="49">
        <v>42994.249324615885</v>
      </c>
      <c r="H12" s="49">
        <v>43210.159397942894</v>
      </c>
      <c r="I12" s="49">
        <v>43459.288611957585</v>
      </c>
      <c r="J12" s="49">
        <v>43785.640777266191</v>
      </c>
      <c r="K12" s="49">
        <v>44140.383069383039</v>
      </c>
      <c r="L12" s="49">
        <v>44525.131422687969</v>
      </c>
      <c r="M12" s="49">
        <v>44802.951856530271</v>
      </c>
      <c r="N12" s="49">
        <v>45027.779598847788</v>
      </c>
      <c r="O12" s="49">
        <v>45270.410656314089</v>
      </c>
      <c r="P12" s="50">
        <v>4.8635009319544231E-3</v>
      </c>
      <c r="Q12" s="69">
        <f t="shared" si="0"/>
        <v>567441.08581243199</v>
      </c>
    </row>
    <row r="13" spans="1:17" ht="13.2" x14ac:dyDescent="0.25">
      <c r="A13" s="48"/>
      <c r="B13" s="34" t="s">
        <v>121</v>
      </c>
      <c r="C13" s="49">
        <v>296</v>
      </c>
      <c r="D13" s="49">
        <v>571</v>
      </c>
      <c r="E13" s="49">
        <v>571</v>
      </c>
      <c r="F13" s="49">
        <v>571</v>
      </c>
      <c r="G13" s="49">
        <v>571</v>
      </c>
      <c r="H13" s="49">
        <v>571</v>
      </c>
      <c r="I13" s="49">
        <v>571</v>
      </c>
      <c r="J13" s="49">
        <v>571</v>
      </c>
      <c r="K13" s="49">
        <v>571</v>
      </c>
      <c r="L13" s="49">
        <v>571</v>
      </c>
      <c r="M13" s="49">
        <v>571</v>
      </c>
      <c r="N13" s="49">
        <v>571</v>
      </c>
      <c r="O13" s="49">
        <v>571</v>
      </c>
      <c r="P13" s="50">
        <v>5.6279131694070728E-2</v>
      </c>
      <c r="Q13" s="69">
        <f t="shared" si="0"/>
        <v>7148</v>
      </c>
    </row>
    <row r="14" spans="1:17" ht="13.2" x14ac:dyDescent="0.25">
      <c r="A14" s="48"/>
      <c r="B14" s="34" t="s">
        <v>122</v>
      </c>
      <c r="C14" s="49">
        <v>1060</v>
      </c>
      <c r="D14" s="49">
        <v>1060</v>
      </c>
      <c r="E14" s="49">
        <v>1057</v>
      </c>
      <c r="F14" s="49">
        <v>1063</v>
      </c>
      <c r="G14" s="49">
        <v>1068</v>
      </c>
      <c r="H14" s="49">
        <v>1073</v>
      </c>
      <c r="I14" s="49">
        <v>1078</v>
      </c>
      <c r="J14" s="49">
        <v>1084</v>
      </c>
      <c r="K14" s="49">
        <v>1092</v>
      </c>
      <c r="L14" s="49">
        <v>1100</v>
      </c>
      <c r="M14" s="49">
        <v>1105</v>
      </c>
      <c r="N14" s="49">
        <v>1109</v>
      </c>
      <c r="O14" s="49">
        <v>1113</v>
      </c>
      <c r="P14" s="50">
        <v>4.0741237836483535E-3</v>
      </c>
      <c r="Q14" s="69">
        <f t="shared" si="0"/>
        <v>14062</v>
      </c>
    </row>
    <row r="15" spans="1:17" ht="13.2" x14ac:dyDescent="0.25">
      <c r="A15" s="48"/>
      <c r="B15" s="34" t="s">
        <v>123</v>
      </c>
      <c r="C15" s="49">
        <v>226</v>
      </c>
      <c r="D15" s="49">
        <v>226</v>
      </c>
      <c r="E15" s="49">
        <v>226</v>
      </c>
      <c r="F15" s="49">
        <v>227</v>
      </c>
      <c r="G15" s="49">
        <v>228</v>
      </c>
      <c r="H15" s="49">
        <v>229</v>
      </c>
      <c r="I15" s="49">
        <v>230</v>
      </c>
      <c r="J15" s="49">
        <v>232</v>
      </c>
      <c r="K15" s="49">
        <v>233</v>
      </c>
      <c r="L15" s="49">
        <v>235</v>
      </c>
      <c r="M15" s="49">
        <v>236</v>
      </c>
      <c r="N15" s="49">
        <v>237</v>
      </c>
      <c r="O15" s="49">
        <v>238</v>
      </c>
      <c r="P15" s="50">
        <v>4.3206132508826212E-3</v>
      </c>
      <c r="Q15" s="69">
        <f t="shared" si="0"/>
        <v>3003</v>
      </c>
    </row>
    <row r="16" spans="1:17" ht="13.2" x14ac:dyDescent="0.25">
      <c r="A16" s="48"/>
      <c r="B16" s="34" t="s">
        <v>124</v>
      </c>
      <c r="C16" s="49">
        <v>48172</v>
      </c>
      <c r="D16" s="49">
        <v>47765.628654478052</v>
      </c>
      <c r="E16" s="49">
        <v>47504.211906940109</v>
      </c>
      <c r="F16" s="49">
        <v>47721.253137072112</v>
      </c>
      <c r="G16" s="49">
        <v>47927.863939966112</v>
      </c>
      <c r="H16" s="49">
        <v>48093.607417388601</v>
      </c>
      <c r="I16" s="49">
        <v>48307.907419935698</v>
      </c>
      <c r="J16" s="49">
        <v>48549.812045192099</v>
      </c>
      <c r="K16" s="49">
        <v>48944.59678086132</v>
      </c>
      <c r="L16" s="49">
        <v>49237.2534121387</v>
      </c>
      <c r="M16" s="49">
        <v>49417.164450401877</v>
      </c>
      <c r="N16" s="49">
        <v>49602.14624405111</v>
      </c>
      <c r="O16" s="49">
        <v>49746.391477662488</v>
      </c>
      <c r="P16" s="50">
        <v>2.6835934463262934E-3</v>
      </c>
      <c r="Q16" s="69">
        <f t="shared" si="0"/>
        <v>630989.83688608825</v>
      </c>
    </row>
    <row r="17" spans="1:17" ht="13.2" x14ac:dyDescent="0.25">
      <c r="A17" s="48"/>
      <c r="B17" s="34" t="s">
        <v>61</v>
      </c>
      <c r="C17" s="49">
        <v>1635</v>
      </c>
      <c r="D17" s="49">
        <v>1635</v>
      </c>
      <c r="E17" s="49">
        <v>1631</v>
      </c>
      <c r="F17" s="49">
        <v>1640</v>
      </c>
      <c r="G17" s="49">
        <v>1649</v>
      </c>
      <c r="H17" s="49">
        <v>1655</v>
      </c>
      <c r="I17" s="49">
        <v>1663</v>
      </c>
      <c r="J17" s="49">
        <v>1673</v>
      </c>
      <c r="K17" s="49">
        <v>1685</v>
      </c>
      <c r="L17" s="49">
        <v>1697</v>
      </c>
      <c r="M17" s="49">
        <v>1704</v>
      </c>
      <c r="N17" s="49">
        <v>1711</v>
      </c>
      <c r="O17" s="49">
        <v>1717</v>
      </c>
      <c r="P17" s="50">
        <v>4.0863077445454365E-3</v>
      </c>
      <c r="Q17" s="69">
        <f t="shared" si="0"/>
        <v>21695</v>
      </c>
    </row>
    <row r="18" spans="1:17" ht="13.2" x14ac:dyDescent="0.25">
      <c r="A18" s="51" t="s">
        <v>125</v>
      </c>
      <c r="B18" s="34"/>
      <c r="C18" s="49">
        <v>94099</v>
      </c>
      <c r="D18" s="49">
        <v>93657.586180385872</v>
      </c>
      <c r="E18" s="49">
        <v>93393.775851968923</v>
      </c>
      <c r="F18" s="49">
        <v>93932.822763021773</v>
      </c>
      <c r="G18" s="49">
        <v>94438.113264582003</v>
      </c>
      <c r="H18" s="49">
        <v>94831.766815331503</v>
      </c>
      <c r="I18" s="49">
        <v>95309.196031893283</v>
      </c>
      <c r="J18" s="49">
        <v>95895.45282245829</v>
      </c>
      <c r="K18" s="49">
        <v>96665.979850244359</v>
      </c>
      <c r="L18" s="49">
        <v>97365.384834826662</v>
      </c>
      <c r="M18" s="49">
        <v>97836.116306932148</v>
      </c>
      <c r="N18" s="49">
        <v>98257.925842898898</v>
      </c>
      <c r="O18" s="49">
        <v>98655.802133976569</v>
      </c>
      <c r="P18" s="50">
        <v>3.9485773831287041E-3</v>
      </c>
      <c r="Q18" s="69">
        <f t="shared" si="0"/>
        <v>1244338.9226985201</v>
      </c>
    </row>
    <row r="19" spans="1:17" ht="13.2" x14ac:dyDescent="0.25">
      <c r="A19" s="48"/>
      <c r="B19" s="34" t="s">
        <v>126</v>
      </c>
      <c r="C19" s="49">
        <v>572</v>
      </c>
      <c r="D19" s="49">
        <v>1104</v>
      </c>
      <c r="E19" s="49">
        <v>1104</v>
      </c>
      <c r="F19" s="49">
        <v>1104</v>
      </c>
      <c r="G19" s="49">
        <v>1104</v>
      </c>
      <c r="H19" s="49">
        <v>1104</v>
      </c>
      <c r="I19" s="49">
        <v>1104</v>
      </c>
      <c r="J19" s="49">
        <v>1104</v>
      </c>
      <c r="K19" s="49">
        <v>1104</v>
      </c>
      <c r="L19" s="49">
        <v>1104</v>
      </c>
      <c r="M19" s="49">
        <v>1104</v>
      </c>
      <c r="N19" s="49">
        <v>1104</v>
      </c>
      <c r="O19" s="49">
        <v>1104</v>
      </c>
      <c r="P19" s="50">
        <v>5.6325475208152342E-2</v>
      </c>
      <c r="Q19" s="69">
        <f t="shared" si="0"/>
        <v>13820</v>
      </c>
    </row>
    <row r="20" spans="1:17" ht="13.2" x14ac:dyDescent="0.25">
      <c r="A20" s="48"/>
      <c r="B20" s="34" t="s">
        <v>127</v>
      </c>
      <c r="C20" s="49">
        <v>10027</v>
      </c>
      <c r="D20" s="49">
        <v>9942.4138196141212</v>
      </c>
      <c r="E20" s="49">
        <v>9940.224148031084</v>
      </c>
      <c r="F20" s="49">
        <v>9998.1772369782284</v>
      </c>
      <c r="G20" s="49">
        <v>10028.886735418</v>
      </c>
      <c r="H20" s="49">
        <v>10047.233184668516</v>
      </c>
      <c r="I20" s="49">
        <v>10075.803968106709</v>
      </c>
      <c r="J20" s="49">
        <v>10110.547177541706</v>
      </c>
      <c r="K20" s="49">
        <v>10145.020149755632</v>
      </c>
      <c r="L20" s="49">
        <v>10184.615165173322</v>
      </c>
      <c r="M20" s="49">
        <v>10200.883693067844</v>
      </c>
      <c r="N20" s="49">
        <v>10204.074157101102</v>
      </c>
      <c r="O20" s="49">
        <v>10207.197866023418</v>
      </c>
      <c r="P20" s="50">
        <v>1.4854096310927822E-3</v>
      </c>
      <c r="Q20" s="69">
        <f t="shared" si="0"/>
        <v>131112.0773014797</v>
      </c>
    </row>
    <row r="21" spans="1:17" ht="13.2" x14ac:dyDescent="0.25">
      <c r="A21" s="51" t="s">
        <v>128</v>
      </c>
      <c r="B21" s="34"/>
      <c r="C21" s="49">
        <v>10599</v>
      </c>
      <c r="D21" s="49">
        <v>11046.413819614121</v>
      </c>
      <c r="E21" s="49">
        <v>11044.224148031084</v>
      </c>
      <c r="F21" s="49">
        <v>11102.177236978228</v>
      </c>
      <c r="G21" s="49">
        <v>11132.886735418</v>
      </c>
      <c r="H21" s="49">
        <v>11151.233184668516</v>
      </c>
      <c r="I21" s="49">
        <v>11179.803968106709</v>
      </c>
      <c r="J21" s="49">
        <v>11214.547177541706</v>
      </c>
      <c r="K21" s="49">
        <v>11249.020149755632</v>
      </c>
      <c r="L21" s="49">
        <v>11288.615165173322</v>
      </c>
      <c r="M21" s="49">
        <v>11304.883693067844</v>
      </c>
      <c r="N21" s="49">
        <v>11308.074157101102</v>
      </c>
      <c r="O21" s="49">
        <v>11311.197866023418</v>
      </c>
      <c r="P21" s="50">
        <v>5.4341734794380869E-3</v>
      </c>
      <c r="Q21" s="69">
        <f t="shared" si="0"/>
        <v>144932.0773014797</v>
      </c>
    </row>
    <row r="22" spans="1:17" ht="13.2" x14ac:dyDescent="0.25">
      <c r="A22" s="51" t="s">
        <v>129</v>
      </c>
      <c r="B22" s="34"/>
      <c r="C22" s="49">
        <v>61988</v>
      </c>
      <c r="D22" s="49">
        <v>62304.042474092174</v>
      </c>
      <c r="E22" s="49">
        <v>62033.436054971193</v>
      </c>
      <c r="F22" s="49">
        <v>62324.430374050338</v>
      </c>
      <c r="G22" s="49">
        <v>62576.750675384115</v>
      </c>
      <c r="H22" s="49">
        <v>62772.840602057113</v>
      </c>
      <c r="I22" s="49">
        <v>63029.711388042408</v>
      </c>
      <c r="J22" s="49">
        <v>63324.359222733809</v>
      </c>
      <c r="K22" s="49">
        <v>63774.616930616954</v>
      </c>
      <c r="L22" s="49">
        <v>64128.868577312023</v>
      </c>
      <c r="M22" s="49">
        <v>64338.048143469721</v>
      </c>
      <c r="N22" s="49">
        <v>64538.220401152212</v>
      </c>
      <c r="O22" s="49">
        <v>64696.589343685904</v>
      </c>
      <c r="P22" s="50">
        <v>3.570330772187047E-3</v>
      </c>
      <c r="Q22" s="69">
        <f t="shared" si="0"/>
        <v>821829.91418756801</v>
      </c>
    </row>
    <row r="23" spans="1:17" ht="13.2" x14ac:dyDescent="0.25">
      <c r="A23" s="51" t="s">
        <v>130</v>
      </c>
      <c r="B23" s="34"/>
      <c r="C23" s="49">
        <v>104698</v>
      </c>
      <c r="D23" s="49">
        <v>104704</v>
      </c>
      <c r="E23" s="49">
        <v>104438</v>
      </c>
      <c r="F23" s="49">
        <v>105035</v>
      </c>
      <c r="G23" s="49">
        <v>105571</v>
      </c>
      <c r="H23" s="49">
        <v>105983</v>
      </c>
      <c r="I23" s="49">
        <v>106489</v>
      </c>
      <c r="J23" s="49">
        <v>107110</v>
      </c>
      <c r="K23" s="49">
        <v>107915</v>
      </c>
      <c r="L23" s="49">
        <v>108654</v>
      </c>
      <c r="M23" s="49">
        <v>109141</v>
      </c>
      <c r="N23" s="49">
        <v>109566</v>
      </c>
      <c r="O23" s="49">
        <v>109967</v>
      </c>
      <c r="P23" s="50">
        <v>4.1000745081622991E-3</v>
      </c>
      <c r="Q23" s="69">
        <f t="shared" si="0"/>
        <v>1389271</v>
      </c>
    </row>
    <row r="24" spans="1:17" ht="13.2" x14ac:dyDescent="0.25">
      <c r="A24" s="48"/>
      <c r="B24" s="34" t="s">
        <v>112</v>
      </c>
      <c r="C24" s="49">
        <v>522</v>
      </c>
      <c r="D24" s="49">
        <v>531</v>
      </c>
      <c r="E24" s="49">
        <v>536</v>
      </c>
      <c r="F24" s="49">
        <v>542</v>
      </c>
      <c r="G24" s="49">
        <v>547</v>
      </c>
      <c r="H24" s="49">
        <v>552</v>
      </c>
      <c r="I24" s="49">
        <v>557</v>
      </c>
      <c r="J24" s="49">
        <v>562</v>
      </c>
      <c r="K24" s="49">
        <v>568</v>
      </c>
      <c r="L24" s="49">
        <v>575</v>
      </c>
      <c r="M24" s="49">
        <v>581</v>
      </c>
      <c r="N24" s="49">
        <v>586</v>
      </c>
      <c r="O24" s="49">
        <v>592</v>
      </c>
      <c r="P24" s="50">
        <v>1.0541764210193927E-2</v>
      </c>
      <c r="Q24" s="69">
        <f t="shared" si="0"/>
        <v>7251</v>
      </c>
    </row>
    <row r="25" spans="1:17" ht="13.2" x14ac:dyDescent="0.25">
      <c r="A25" s="48"/>
      <c r="B25" s="34" t="s">
        <v>33</v>
      </c>
      <c r="C25" s="49">
        <v>2095</v>
      </c>
      <c r="D25" s="49">
        <v>2134</v>
      </c>
      <c r="E25" s="49">
        <v>2154</v>
      </c>
      <c r="F25" s="49">
        <v>2178</v>
      </c>
      <c r="G25" s="49">
        <v>2196</v>
      </c>
      <c r="H25" s="49">
        <v>2215</v>
      </c>
      <c r="I25" s="49">
        <v>2236</v>
      </c>
      <c r="J25" s="49">
        <v>2258</v>
      </c>
      <c r="K25" s="49">
        <v>2282</v>
      </c>
      <c r="L25" s="49">
        <v>2308</v>
      </c>
      <c r="M25" s="49">
        <v>2332</v>
      </c>
      <c r="N25" s="49">
        <v>2354</v>
      </c>
      <c r="O25" s="49">
        <v>2378</v>
      </c>
      <c r="P25" s="50">
        <v>1.0614795156410173E-2</v>
      </c>
      <c r="Q25" s="69">
        <f t="shared" si="0"/>
        <v>29120</v>
      </c>
    </row>
    <row r="26" spans="1:17" ht="13.2" x14ac:dyDescent="0.25">
      <c r="A26" s="51" t="s">
        <v>131</v>
      </c>
      <c r="B26" s="34"/>
      <c r="C26" s="49">
        <v>2617</v>
      </c>
      <c r="D26" s="49">
        <v>2665</v>
      </c>
      <c r="E26" s="49">
        <v>2690</v>
      </c>
      <c r="F26" s="49">
        <v>2720</v>
      </c>
      <c r="G26" s="49">
        <v>2743</v>
      </c>
      <c r="H26" s="49">
        <v>2767</v>
      </c>
      <c r="I26" s="49">
        <v>2793</v>
      </c>
      <c r="J26" s="49">
        <v>2820</v>
      </c>
      <c r="K26" s="49">
        <v>2850</v>
      </c>
      <c r="L26" s="49">
        <v>2883</v>
      </c>
      <c r="M26" s="49">
        <v>2913</v>
      </c>
      <c r="N26" s="49">
        <v>2940</v>
      </c>
      <c r="O26" s="49">
        <v>2970</v>
      </c>
      <c r="P26" s="50">
        <v>1.0600232670342269E-2</v>
      </c>
      <c r="Q26" s="69">
        <f t="shared" si="0"/>
        <v>36371</v>
      </c>
    </row>
    <row r="27" spans="1:17" ht="13.2" x14ac:dyDescent="0.25">
      <c r="A27" s="48"/>
      <c r="B27" s="34" t="s">
        <v>85</v>
      </c>
      <c r="C27" s="49">
        <v>193</v>
      </c>
      <c r="D27" s="49">
        <v>196</v>
      </c>
      <c r="E27" s="49">
        <v>198</v>
      </c>
      <c r="F27" s="49">
        <v>200</v>
      </c>
      <c r="G27" s="49">
        <v>202</v>
      </c>
      <c r="H27" s="49">
        <v>204</v>
      </c>
      <c r="I27" s="49">
        <v>206</v>
      </c>
      <c r="J27" s="49">
        <v>208</v>
      </c>
      <c r="K27" s="49">
        <v>210</v>
      </c>
      <c r="L27" s="49">
        <v>213</v>
      </c>
      <c r="M27" s="49">
        <v>215</v>
      </c>
      <c r="N27" s="49">
        <v>217</v>
      </c>
      <c r="O27" s="49">
        <v>219</v>
      </c>
      <c r="P27" s="50">
        <v>1.0587449638950197E-2</v>
      </c>
      <c r="Q27" s="69">
        <f t="shared" si="0"/>
        <v>2681</v>
      </c>
    </row>
    <row r="28" spans="1:17" ht="13.2" x14ac:dyDescent="0.25">
      <c r="A28" s="48"/>
      <c r="B28" s="34" t="s">
        <v>0</v>
      </c>
      <c r="C28" s="49">
        <v>2725</v>
      </c>
      <c r="D28" s="49">
        <v>2761</v>
      </c>
      <c r="E28" s="49">
        <v>2788</v>
      </c>
      <c r="F28" s="49">
        <v>2819</v>
      </c>
      <c r="G28" s="49">
        <v>2843</v>
      </c>
      <c r="H28" s="49">
        <v>2871</v>
      </c>
      <c r="I28" s="49">
        <v>2901</v>
      </c>
      <c r="J28" s="49">
        <v>2932</v>
      </c>
      <c r="K28" s="49">
        <v>2966</v>
      </c>
      <c r="L28" s="49">
        <v>2999</v>
      </c>
      <c r="M28" s="49">
        <v>3031</v>
      </c>
      <c r="N28" s="49">
        <v>3061</v>
      </c>
      <c r="O28" s="49">
        <v>3090</v>
      </c>
      <c r="P28" s="50">
        <v>1.0530279114037588E-2</v>
      </c>
      <c r="Q28" s="69">
        <f t="shared" si="0"/>
        <v>37787</v>
      </c>
    </row>
    <row r="29" spans="1:17" ht="13.2" x14ac:dyDescent="0.25">
      <c r="A29" s="48"/>
      <c r="B29" s="34" t="s">
        <v>110</v>
      </c>
      <c r="C29" s="49">
        <v>817</v>
      </c>
      <c r="D29" s="49">
        <v>828</v>
      </c>
      <c r="E29" s="49">
        <v>836</v>
      </c>
      <c r="F29" s="49">
        <v>846</v>
      </c>
      <c r="G29" s="49">
        <v>853</v>
      </c>
      <c r="H29" s="49">
        <v>861</v>
      </c>
      <c r="I29" s="49">
        <v>870</v>
      </c>
      <c r="J29" s="49">
        <v>880</v>
      </c>
      <c r="K29" s="49">
        <v>890</v>
      </c>
      <c r="L29" s="49">
        <v>900</v>
      </c>
      <c r="M29" s="49">
        <v>909</v>
      </c>
      <c r="N29" s="49">
        <v>918</v>
      </c>
      <c r="O29" s="49">
        <v>927</v>
      </c>
      <c r="P29" s="50">
        <v>1.0581801295719506E-2</v>
      </c>
      <c r="Q29" s="69">
        <f t="shared" si="0"/>
        <v>11335</v>
      </c>
    </row>
    <row r="30" spans="1:17" ht="13.2" x14ac:dyDescent="0.25">
      <c r="A30" s="48"/>
      <c r="B30" s="34" t="s">
        <v>111</v>
      </c>
      <c r="C30" s="49">
        <v>1301</v>
      </c>
      <c r="D30" s="49">
        <v>1318</v>
      </c>
      <c r="E30" s="49">
        <v>1331</v>
      </c>
      <c r="F30" s="49">
        <v>1346</v>
      </c>
      <c r="G30" s="49">
        <v>1357</v>
      </c>
      <c r="H30" s="49">
        <v>1371</v>
      </c>
      <c r="I30" s="49">
        <v>1385</v>
      </c>
      <c r="J30" s="49">
        <v>1400</v>
      </c>
      <c r="K30" s="49">
        <v>1416</v>
      </c>
      <c r="L30" s="49">
        <v>1432</v>
      </c>
      <c r="M30" s="49">
        <v>1447</v>
      </c>
      <c r="N30" s="49">
        <v>1461</v>
      </c>
      <c r="O30" s="49">
        <v>1475</v>
      </c>
      <c r="P30" s="50">
        <v>1.0515300426679364E-2</v>
      </c>
      <c r="Q30" s="69">
        <f t="shared" si="0"/>
        <v>18040</v>
      </c>
    </row>
    <row r="31" spans="1:17" ht="13.2" x14ac:dyDescent="0.25">
      <c r="A31" s="48"/>
      <c r="B31" s="34" t="s">
        <v>8</v>
      </c>
      <c r="C31" s="49">
        <v>11249</v>
      </c>
      <c r="D31" s="49">
        <v>11471</v>
      </c>
      <c r="E31" s="49">
        <v>11641</v>
      </c>
      <c r="F31" s="49">
        <v>11825</v>
      </c>
      <c r="G31" s="49">
        <v>11946</v>
      </c>
      <c r="H31" s="49">
        <v>12067</v>
      </c>
      <c r="I31" s="49">
        <v>12176</v>
      </c>
      <c r="J31" s="49">
        <v>12275</v>
      </c>
      <c r="K31" s="49">
        <v>12382</v>
      </c>
      <c r="L31" s="49">
        <v>12484</v>
      </c>
      <c r="M31" s="49">
        <v>12589</v>
      </c>
      <c r="N31" s="49">
        <v>12684</v>
      </c>
      <c r="O31" s="49">
        <v>12775</v>
      </c>
      <c r="P31" s="50">
        <v>1.0657297066615001E-2</v>
      </c>
      <c r="Q31" s="69">
        <f t="shared" si="0"/>
        <v>157564</v>
      </c>
    </row>
    <row r="32" spans="1:17" ht="13.2" x14ac:dyDescent="0.25">
      <c r="A32" s="48"/>
      <c r="B32" s="34" t="s">
        <v>88</v>
      </c>
      <c r="C32" s="49">
        <v>458</v>
      </c>
      <c r="D32" s="49">
        <v>464</v>
      </c>
      <c r="E32" s="49">
        <v>468</v>
      </c>
      <c r="F32" s="49">
        <v>474</v>
      </c>
      <c r="G32" s="49">
        <v>478</v>
      </c>
      <c r="H32" s="49">
        <v>482</v>
      </c>
      <c r="I32" s="49">
        <v>487</v>
      </c>
      <c r="J32" s="49">
        <v>493</v>
      </c>
      <c r="K32" s="49">
        <v>498</v>
      </c>
      <c r="L32" s="49">
        <v>504</v>
      </c>
      <c r="M32" s="49">
        <v>509</v>
      </c>
      <c r="N32" s="49">
        <v>514</v>
      </c>
      <c r="O32" s="49">
        <v>519</v>
      </c>
      <c r="P32" s="50">
        <v>1.047403088059351E-2</v>
      </c>
      <c r="Q32" s="69">
        <f t="shared" si="0"/>
        <v>6348</v>
      </c>
    </row>
    <row r="33" spans="1:17" ht="13.2" x14ac:dyDescent="0.25">
      <c r="A33" s="51" t="s">
        <v>132</v>
      </c>
      <c r="B33" s="34"/>
      <c r="C33" s="49">
        <v>16743</v>
      </c>
      <c r="D33" s="49">
        <v>17038</v>
      </c>
      <c r="E33" s="49">
        <v>17262</v>
      </c>
      <c r="F33" s="49">
        <v>17510</v>
      </c>
      <c r="G33" s="49">
        <v>17679</v>
      </c>
      <c r="H33" s="49">
        <v>17856</v>
      </c>
      <c r="I33" s="49">
        <v>18025</v>
      </c>
      <c r="J33" s="49">
        <v>18188</v>
      </c>
      <c r="K33" s="49">
        <v>18362</v>
      </c>
      <c r="L33" s="49">
        <v>18532</v>
      </c>
      <c r="M33" s="49">
        <v>18700</v>
      </c>
      <c r="N33" s="49">
        <v>18855</v>
      </c>
      <c r="O33" s="49">
        <v>19005</v>
      </c>
      <c r="P33" s="50">
        <v>1.0616108709934347E-2</v>
      </c>
      <c r="Q33" s="69">
        <f t="shared" si="0"/>
        <v>233755</v>
      </c>
    </row>
    <row r="34" spans="1:17" ht="13.2" x14ac:dyDescent="0.25">
      <c r="A34" s="48"/>
      <c r="B34" s="34" t="s">
        <v>9</v>
      </c>
      <c r="C34" s="49">
        <v>2478</v>
      </c>
      <c r="D34" s="49">
        <v>2531</v>
      </c>
      <c r="E34" s="49">
        <v>2546</v>
      </c>
      <c r="F34" s="49">
        <v>2546</v>
      </c>
      <c r="G34" s="49">
        <v>2550</v>
      </c>
      <c r="H34" s="49">
        <v>2552</v>
      </c>
      <c r="I34" s="49">
        <v>2558</v>
      </c>
      <c r="J34" s="49">
        <v>2563</v>
      </c>
      <c r="K34" s="49">
        <v>2578</v>
      </c>
      <c r="L34" s="49">
        <v>2586</v>
      </c>
      <c r="M34" s="49">
        <v>2591</v>
      </c>
      <c r="N34" s="49">
        <v>2600</v>
      </c>
      <c r="O34" s="49">
        <v>2602</v>
      </c>
      <c r="P34" s="50">
        <v>4.0773395632616172E-3</v>
      </c>
      <c r="Q34" s="69">
        <f t="shared" si="0"/>
        <v>33281</v>
      </c>
    </row>
    <row r="35" spans="1:17" ht="13.2" x14ac:dyDescent="0.25">
      <c r="A35" s="48"/>
      <c r="B35" s="34" t="s">
        <v>133</v>
      </c>
      <c r="C35" s="49">
        <v>231</v>
      </c>
      <c r="D35" s="49">
        <v>236</v>
      </c>
      <c r="E35" s="49">
        <v>237</v>
      </c>
      <c r="F35" s="49">
        <v>237</v>
      </c>
      <c r="G35" s="49">
        <v>237</v>
      </c>
      <c r="H35" s="49">
        <v>237</v>
      </c>
      <c r="I35" s="49">
        <v>238</v>
      </c>
      <c r="J35" s="49">
        <v>238</v>
      </c>
      <c r="K35" s="49">
        <v>240</v>
      </c>
      <c r="L35" s="49">
        <v>241</v>
      </c>
      <c r="M35" s="49">
        <v>241</v>
      </c>
      <c r="N35" s="49">
        <v>242</v>
      </c>
      <c r="O35" s="49">
        <v>242</v>
      </c>
      <c r="P35" s="50">
        <v>3.8841919663850089E-3</v>
      </c>
      <c r="Q35" s="69">
        <f t="shared" si="0"/>
        <v>3097</v>
      </c>
    </row>
    <row r="36" spans="1:17" ht="13.2" x14ac:dyDescent="0.25">
      <c r="A36" s="48"/>
      <c r="B36" s="34" t="s">
        <v>134</v>
      </c>
      <c r="C36" s="49">
        <v>1488</v>
      </c>
      <c r="D36" s="49">
        <v>1520</v>
      </c>
      <c r="E36" s="49">
        <v>1529</v>
      </c>
      <c r="F36" s="49">
        <v>1529</v>
      </c>
      <c r="G36" s="49">
        <v>1531</v>
      </c>
      <c r="H36" s="49">
        <v>1533</v>
      </c>
      <c r="I36" s="49">
        <v>1537</v>
      </c>
      <c r="J36" s="49">
        <v>1539</v>
      </c>
      <c r="K36" s="49">
        <v>1548</v>
      </c>
      <c r="L36" s="49">
        <v>1553</v>
      </c>
      <c r="M36" s="49">
        <v>1557</v>
      </c>
      <c r="N36" s="49">
        <v>1562</v>
      </c>
      <c r="O36" s="49">
        <v>1563</v>
      </c>
      <c r="P36" s="50">
        <v>4.1062505578026709E-3</v>
      </c>
      <c r="Q36" s="69">
        <f t="shared" si="0"/>
        <v>19989</v>
      </c>
    </row>
    <row r="37" spans="1:17" ht="13.2" x14ac:dyDescent="0.25">
      <c r="A37" s="48"/>
      <c r="B37" s="34" t="s">
        <v>2</v>
      </c>
      <c r="C37" s="49">
        <v>1229</v>
      </c>
      <c r="D37" s="49">
        <v>1255</v>
      </c>
      <c r="E37" s="49">
        <v>1262</v>
      </c>
      <c r="F37" s="49">
        <v>1262</v>
      </c>
      <c r="G37" s="49">
        <v>1264</v>
      </c>
      <c r="H37" s="49">
        <v>1265</v>
      </c>
      <c r="I37" s="49">
        <v>1268</v>
      </c>
      <c r="J37" s="49">
        <v>1271</v>
      </c>
      <c r="K37" s="49">
        <v>1278</v>
      </c>
      <c r="L37" s="49">
        <v>1282</v>
      </c>
      <c r="M37" s="49">
        <v>1285</v>
      </c>
      <c r="N37" s="49">
        <v>1289</v>
      </c>
      <c r="O37" s="49">
        <v>1290</v>
      </c>
      <c r="P37" s="50">
        <v>4.044941096252197E-3</v>
      </c>
      <c r="Q37" s="69">
        <f t="shared" si="0"/>
        <v>16500</v>
      </c>
    </row>
    <row r="38" spans="1:17" ht="13.2" x14ac:dyDescent="0.25">
      <c r="A38" s="48"/>
      <c r="B38" s="34" t="s">
        <v>11</v>
      </c>
      <c r="C38" s="49">
        <v>2382</v>
      </c>
      <c r="D38" s="49">
        <v>2434</v>
      </c>
      <c r="E38" s="49">
        <v>2448</v>
      </c>
      <c r="F38" s="49">
        <v>2448</v>
      </c>
      <c r="G38" s="49">
        <v>2451</v>
      </c>
      <c r="H38" s="49">
        <v>2454</v>
      </c>
      <c r="I38" s="49">
        <v>2459</v>
      </c>
      <c r="J38" s="49">
        <v>2464</v>
      </c>
      <c r="K38" s="49">
        <v>2478</v>
      </c>
      <c r="L38" s="49">
        <v>2486</v>
      </c>
      <c r="M38" s="49">
        <v>2491</v>
      </c>
      <c r="N38" s="49">
        <v>2500</v>
      </c>
      <c r="O38" s="49">
        <v>2502</v>
      </c>
      <c r="P38" s="50">
        <v>4.1042277947578309E-3</v>
      </c>
      <c r="Q38" s="69">
        <f t="shared" si="0"/>
        <v>31997</v>
      </c>
    </row>
    <row r="39" spans="1:17" ht="13.2" x14ac:dyDescent="0.25">
      <c r="A39" s="48"/>
      <c r="B39" s="34" t="s">
        <v>135</v>
      </c>
      <c r="C39" s="49">
        <v>73083</v>
      </c>
      <c r="D39" s="49">
        <v>72339.040847444892</v>
      </c>
      <c r="E39" s="49">
        <v>72761.127368695554</v>
      </c>
      <c r="F39" s="49">
        <v>72712.624229954963</v>
      </c>
      <c r="G39" s="49">
        <v>72781.352082347192</v>
      </c>
      <c r="H39" s="49">
        <v>72803.071467210102</v>
      </c>
      <c r="I39" s="49">
        <v>72926.395190557683</v>
      </c>
      <c r="J39" s="49">
        <v>73012.01512560343</v>
      </c>
      <c r="K39" s="49">
        <v>73377.858263621572</v>
      </c>
      <c r="L39" s="49">
        <v>73577.38624059147</v>
      </c>
      <c r="M39" s="49">
        <v>73701.076999566285</v>
      </c>
      <c r="N39" s="49">
        <v>73898.198032026456</v>
      </c>
      <c r="O39" s="49">
        <v>73925.827479542117</v>
      </c>
      <c r="P39" s="50">
        <v>9.5599647412281108E-4</v>
      </c>
      <c r="Q39" s="69">
        <f t="shared" si="0"/>
        <v>950898.97332716163</v>
      </c>
    </row>
    <row r="40" spans="1:17" ht="13.2" x14ac:dyDescent="0.25">
      <c r="A40" s="48"/>
      <c r="B40" s="34" t="s">
        <v>107</v>
      </c>
      <c r="C40" s="49">
        <v>1234</v>
      </c>
      <c r="D40" s="49">
        <v>1261</v>
      </c>
      <c r="E40" s="49">
        <v>1268</v>
      </c>
      <c r="F40" s="49">
        <v>1268</v>
      </c>
      <c r="G40" s="49">
        <v>1270</v>
      </c>
      <c r="H40" s="49">
        <v>1271</v>
      </c>
      <c r="I40" s="49">
        <v>1274</v>
      </c>
      <c r="J40" s="49">
        <v>1276</v>
      </c>
      <c r="K40" s="49">
        <v>1284</v>
      </c>
      <c r="L40" s="49">
        <v>1288</v>
      </c>
      <c r="M40" s="49">
        <v>1291</v>
      </c>
      <c r="N40" s="49">
        <v>1295</v>
      </c>
      <c r="O40" s="49">
        <v>1296</v>
      </c>
      <c r="P40" s="50">
        <v>4.0934949264079812E-3</v>
      </c>
      <c r="Q40" s="69">
        <f t="shared" si="0"/>
        <v>16576</v>
      </c>
    </row>
    <row r="41" spans="1:17" ht="13.2" x14ac:dyDescent="0.25">
      <c r="A41" s="51" t="s">
        <v>136</v>
      </c>
      <c r="B41" s="34"/>
      <c r="C41" s="49">
        <v>82125</v>
      </c>
      <c r="D41" s="49">
        <v>81576.040847444892</v>
      </c>
      <c r="E41" s="49">
        <v>82051.127368695554</v>
      </c>
      <c r="F41" s="49">
        <v>82002.624229954963</v>
      </c>
      <c r="G41" s="49">
        <v>82084.352082347192</v>
      </c>
      <c r="H41" s="49">
        <v>82115.071467210102</v>
      </c>
      <c r="I41" s="49">
        <v>82260.395190557683</v>
      </c>
      <c r="J41" s="49">
        <v>82363.01512560343</v>
      </c>
      <c r="K41" s="49">
        <v>82783.858263621572</v>
      </c>
      <c r="L41" s="49">
        <v>83013.38624059147</v>
      </c>
      <c r="M41" s="49">
        <v>83157.076999566285</v>
      </c>
      <c r="N41" s="49">
        <v>83386.198032026456</v>
      </c>
      <c r="O41" s="49">
        <v>83420.827479542117</v>
      </c>
      <c r="P41" s="50">
        <v>1.3054790095754498E-3</v>
      </c>
      <c r="Q41" s="69">
        <f t="shared" si="0"/>
        <v>1072338.9733271617</v>
      </c>
    </row>
    <row r="42" spans="1:17" ht="13.2" x14ac:dyDescent="0.25">
      <c r="A42" s="48"/>
      <c r="B42" s="34" t="s">
        <v>137</v>
      </c>
      <c r="C42" s="49">
        <v>2190</v>
      </c>
      <c r="D42" s="49">
        <v>5191</v>
      </c>
      <c r="E42" s="49">
        <v>5191</v>
      </c>
      <c r="F42" s="49">
        <v>5191</v>
      </c>
      <c r="G42" s="49">
        <v>5191</v>
      </c>
      <c r="H42" s="49">
        <v>5191</v>
      </c>
      <c r="I42" s="49">
        <v>5191</v>
      </c>
      <c r="J42" s="49">
        <v>5191</v>
      </c>
      <c r="K42" s="49">
        <v>5191</v>
      </c>
      <c r="L42" s="49">
        <v>5191</v>
      </c>
      <c r="M42" s="49">
        <v>5191</v>
      </c>
      <c r="N42" s="49">
        <v>5191</v>
      </c>
      <c r="O42" s="49">
        <v>5191</v>
      </c>
      <c r="P42" s="50">
        <v>7.4568015120356712E-2</v>
      </c>
      <c r="Q42" s="69">
        <f t="shared" si="0"/>
        <v>64482</v>
      </c>
    </row>
    <row r="43" spans="1:17" ht="13.2" x14ac:dyDescent="0.25">
      <c r="A43" s="48"/>
      <c r="B43" s="34" t="s">
        <v>138</v>
      </c>
      <c r="C43" s="49">
        <v>15992</v>
      </c>
      <c r="D43" s="49">
        <v>15829.207082800905</v>
      </c>
      <c r="E43" s="49">
        <v>15948.974192268664</v>
      </c>
      <c r="F43" s="49">
        <v>16011.885452583367</v>
      </c>
      <c r="G43" s="49">
        <v>16103.000003050425</v>
      </c>
      <c r="H43" s="49">
        <v>16174.621023612792</v>
      </c>
      <c r="I43" s="49">
        <v>16271.42445655427</v>
      </c>
      <c r="J43" s="49">
        <v>16352.797211324718</v>
      </c>
      <c r="K43" s="49">
        <v>16555.589584547462</v>
      </c>
      <c r="L43" s="49">
        <v>16657.789334534355</v>
      </c>
      <c r="M43" s="49">
        <v>16739.258708217116</v>
      </c>
      <c r="N43" s="49">
        <v>16862.381572177059</v>
      </c>
      <c r="O43" s="49">
        <v>16920.298352516758</v>
      </c>
      <c r="P43" s="50">
        <v>4.7131881235693562E-3</v>
      </c>
      <c r="Q43" s="69">
        <f t="shared" si="0"/>
        <v>212419.22697418788</v>
      </c>
    </row>
    <row r="44" spans="1:17" ht="13.2" x14ac:dyDescent="0.25">
      <c r="A44" s="51" t="s">
        <v>139</v>
      </c>
      <c r="B44" s="34"/>
      <c r="C44" s="49">
        <v>18182</v>
      </c>
      <c r="D44" s="49">
        <v>21020.207082800905</v>
      </c>
      <c r="E44" s="49">
        <v>21139.974192268666</v>
      </c>
      <c r="F44" s="49">
        <v>21202.885452583367</v>
      </c>
      <c r="G44" s="49">
        <v>21294.000003050423</v>
      </c>
      <c r="H44" s="49">
        <v>21365.621023612792</v>
      </c>
      <c r="I44" s="49">
        <v>21462.424456554269</v>
      </c>
      <c r="J44" s="49">
        <v>21543.797211324716</v>
      </c>
      <c r="K44" s="49">
        <v>21746.589584547462</v>
      </c>
      <c r="L44" s="49">
        <v>21848.789334534355</v>
      </c>
      <c r="M44" s="49">
        <v>21930.258708217116</v>
      </c>
      <c r="N44" s="49">
        <v>22053.381572177059</v>
      </c>
      <c r="O44" s="49">
        <v>22111.298352516758</v>
      </c>
      <c r="P44" s="50">
        <v>1.6438365783083997E-2</v>
      </c>
      <c r="Q44" s="69">
        <f t="shared" si="0"/>
        <v>276901.22697418788</v>
      </c>
    </row>
    <row r="45" spans="1:17" ht="13.2" x14ac:dyDescent="0.25">
      <c r="A45" s="48"/>
      <c r="B45" s="34" t="s">
        <v>133</v>
      </c>
      <c r="C45" s="49">
        <v>2331</v>
      </c>
      <c r="D45" s="49">
        <v>2381</v>
      </c>
      <c r="E45" s="49">
        <v>2395</v>
      </c>
      <c r="F45" s="49">
        <v>2395</v>
      </c>
      <c r="G45" s="49">
        <v>2399</v>
      </c>
      <c r="H45" s="49">
        <v>2401</v>
      </c>
      <c r="I45" s="49">
        <v>2406</v>
      </c>
      <c r="J45" s="49">
        <v>2411</v>
      </c>
      <c r="K45" s="49">
        <v>2425</v>
      </c>
      <c r="L45" s="49">
        <v>2433</v>
      </c>
      <c r="M45" s="49">
        <v>2438</v>
      </c>
      <c r="N45" s="49">
        <v>2446</v>
      </c>
      <c r="O45" s="49">
        <v>2448</v>
      </c>
      <c r="P45" s="50">
        <v>4.0895063527857101E-3</v>
      </c>
      <c r="Q45" s="69">
        <f t="shared" si="0"/>
        <v>31309</v>
      </c>
    </row>
    <row r="46" spans="1:17" ht="13.2" x14ac:dyDescent="0.25">
      <c r="A46" s="48"/>
      <c r="B46" s="34" t="s">
        <v>140</v>
      </c>
      <c r="C46" s="49">
        <v>82</v>
      </c>
      <c r="D46" s="49">
        <v>84</v>
      </c>
      <c r="E46" s="49">
        <v>84</v>
      </c>
      <c r="F46" s="49">
        <v>84</v>
      </c>
      <c r="G46" s="49">
        <v>85</v>
      </c>
      <c r="H46" s="49">
        <v>85</v>
      </c>
      <c r="I46" s="49">
        <v>85</v>
      </c>
      <c r="J46" s="49">
        <v>85</v>
      </c>
      <c r="K46" s="49">
        <v>86</v>
      </c>
      <c r="L46" s="49">
        <v>86</v>
      </c>
      <c r="M46" s="49">
        <v>86</v>
      </c>
      <c r="N46" s="49">
        <v>86</v>
      </c>
      <c r="O46" s="49">
        <v>86</v>
      </c>
      <c r="P46" s="50">
        <v>3.9768910101050103E-3</v>
      </c>
      <c r="Q46" s="69">
        <f t="shared" si="0"/>
        <v>1104</v>
      </c>
    </row>
    <row r="47" spans="1:17" ht="13.2" x14ac:dyDescent="0.25">
      <c r="A47" s="48"/>
      <c r="B47" s="34" t="s">
        <v>141</v>
      </c>
      <c r="C47" s="49">
        <v>4052</v>
      </c>
      <c r="D47" s="49">
        <v>4010.7520697542068</v>
      </c>
      <c r="E47" s="49">
        <v>4019.8984390357768</v>
      </c>
      <c r="F47" s="49">
        <v>4005.4903174616729</v>
      </c>
      <c r="G47" s="49">
        <v>3999.6479146023694</v>
      </c>
      <c r="H47" s="49">
        <v>4000.3075091771043</v>
      </c>
      <c r="I47" s="49">
        <v>4011.1803528880469</v>
      </c>
      <c r="J47" s="49">
        <v>4018.1876630718634</v>
      </c>
      <c r="K47" s="49">
        <v>4036.5521518309688</v>
      </c>
      <c r="L47" s="49">
        <v>4045.8244248741785</v>
      </c>
      <c r="M47" s="49">
        <v>4049.664292216612</v>
      </c>
      <c r="N47" s="49">
        <v>4057.4203957964978</v>
      </c>
      <c r="O47" s="49">
        <v>4055.8741679411196</v>
      </c>
      <c r="P47" s="50">
        <v>7.9641149358433694E-5</v>
      </c>
      <c r="Q47" s="69">
        <f t="shared" si="0"/>
        <v>52362.799698650415</v>
      </c>
    </row>
    <row r="48" spans="1:17" ht="13.2" x14ac:dyDescent="0.25">
      <c r="A48" s="51" t="s">
        <v>142</v>
      </c>
      <c r="B48" s="34"/>
      <c r="C48" s="49">
        <v>106772</v>
      </c>
      <c r="D48" s="49">
        <v>109072</v>
      </c>
      <c r="E48" s="49">
        <v>109690</v>
      </c>
      <c r="F48" s="49">
        <v>109690.00000000001</v>
      </c>
      <c r="G48" s="49">
        <v>109861.99999999997</v>
      </c>
      <c r="H48" s="49">
        <v>109967</v>
      </c>
      <c r="I48" s="49">
        <v>110225</v>
      </c>
      <c r="J48" s="49">
        <v>110421.00000000001</v>
      </c>
      <c r="K48" s="49">
        <v>111078</v>
      </c>
      <c r="L48" s="49">
        <v>111427</v>
      </c>
      <c r="M48" s="49">
        <v>111661.00000000001</v>
      </c>
      <c r="N48" s="49">
        <v>112029.00000000001</v>
      </c>
      <c r="O48" s="49">
        <v>112121.99999999999</v>
      </c>
      <c r="P48" s="50">
        <v>4.0826316853508349E-3</v>
      </c>
      <c r="Q48" s="69">
        <f t="shared" si="0"/>
        <v>1434016</v>
      </c>
    </row>
    <row r="49" spans="1:17" ht="13.2" x14ac:dyDescent="0.25">
      <c r="A49" s="51" t="s">
        <v>143</v>
      </c>
      <c r="B49" s="34"/>
      <c r="C49" s="49">
        <v>21542</v>
      </c>
      <c r="D49" s="49">
        <v>21451</v>
      </c>
      <c r="E49" s="49">
        <v>21291</v>
      </c>
      <c r="F49" s="49">
        <v>21431</v>
      </c>
      <c r="G49" s="49">
        <v>21465</v>
      </c>
      <c r="H49" s="49">
        <v>21525</v>
      </c>
      <c r="I49" s="49">
        <v>21574</v>
      </c>
      <c r="J49" s="49">
        <v>21674</v>
      </c>
      <c r="K49" s="49">
        <v>21866</v>
      </c>
      <c r="L49" s="49">
        <v>21956</v>
      </c>
      <c r="M49" s="49">
        <v>22049</v>
      </c>
      <c r="N49" s="49">
        <v>22132</v>
      </c>
      <c r="O49" s="49">
        <v>22202</v>
      </c>
      <c r="P49" s="50">
        <v>2.5179862309576695E-3</v>
      </c>
      <c r="Q49" s="69">
        <f t="shared" si="0"/>
        <v>282158</v>
      </c>
    </row>
    <row r="50" spans="1:17" ht="13.2" x14ac:dyDescent="0.25">
      <c r="A50" s="51" t="s">
        <v>144</v>
      </c>
      <c r="B50" s="34"/>
      <c r="C50" s="49">
        <v>11</v>
      </c>
      <c r="D50" s="49">
        <v>11</v>
      </c>
      <c r="E50" s="49">
        <v>11</v>
      </c>
      <c r="F50" s="49">
        <v>11</v>
      </c>
      <c r="G50" s="49">
        <v>12</v>
      </c>
      <c r="H50" s="49">
        <v>12</v>
      </c>
      <c r="I50" s="49">
        <v>12</v>
      </c>
      <c r="J50" s="49">
        <v>12</v>
      </c>
      <c r="K50" s="49">
        <v>12</v>
      </c>
      <c r="L50" s="49">
        <v>12</v>
      </c>
      <c r="M50" s="49">
        <v>12</v>
      </c>
      <c r="N50" s="49">
        <v>13</v>
      </c>
      <c r="O50" s="49">
        <v>13</v>
      </c>
      <c r="P50" s="50">
        <v>1.4018524481887562E-2</v>
      </c>
      <c r="Q50" s="69">
        <f t="shared" si="0"/>
        <v>154</v>
      </c>
    </row>
    <row r="51" spans="1:17" ht="13.2" x14ac:dyDescent="0.25">
      <c r="A51" s="51" t="s">
        <v>145</v>
      </c>
      <c r="B51" s="34"/>
      <c r="C51" s="49">
        <v>128325</v>
      </c>
      <c r="D51" s="49">
        <v>130534</v>
      </c>
      <c r="E51" s="49">
        <v>130992</v>
      </c>
      <c r="F51" s="49">
        <v>131132</v>
      </c>
      <c r="G51" s="49">
        <v>131338.99999999997</v>
      </c>
      <c r="H51" s="49">
        <v>131504</v>
      </c>
      <c r="I51" s="49">
        <v>131811</v>
      </c>
      <c r="J51" s="49">
        <v>132107</v>
      </c>
      <c r="K51" s="49">
        <v>132956</v>
      </c>
      <c r="L51" s="49">
        <v>133395</v>
      </c>
      <c r="M51" s="49">
        <v>133722</v>
      </c>
      <c r="N51" s="49">
        <v>134174</v>
      </c>
      <c r="O51" s="49">
        <v>134337</v>
      </c>
      <c r="P51" s="50">
        <v>3.8227430933119866E-3</v>
      </c>
      <c r="Q51" s="69">
        <f t="shared" si="0"/>
        <v>1716328</v>
      </c>
    </row>
    <row r="52" spans="1:17" ht="13.2" x14ac:dyDescent="0.25">
      <c r="A52" s="48"/>
      <c r="B52" s="34" t="s">
        <v>108</v>
      </c>
      <c r="C52" s="49">
        <v>1204</v>
      </c>
      <c r="D52" s="49">
        <v>1187</v>
      </c>
      <c r="E52" s="49">
        <v>1187</v>
      </c>
      <c r="F52" s="49">
        <v>1193</v>
      </c>
      <c r="G52" s="49">
        <v>1198</v>
      </c>
      <c r="H52" s="49">
        <v>1202</v>
      </c>
      <c r="I52" s="49">
        <v>1208</v>
      </c>
      <c r="J52" s="49">
        <v>1214</v>
      </c>
      <c r="K52" s="49">
        <v>1225</v>
      </c>
      <c r="L52" s="49">
        <v>1229</v>
      </c>
      <c r="M52" s="49">
        <v>1233</v>
      </c>
      <c r="N52" s="49">
        <v>1238</v>
      </c>
      <c r="O52" s="49">
        <v>1241</v>
      </c>
      <c r="P52" s="50">
        <v>2.525530403847176E-3</v>
      </c>
      <c r="Q52" s="69">
        <f t="shared" si="0"/>
        <v>15759</v>
      </c>
    </row>
    <row r="53" spans="1:17" ht="13.2" x14ac:dyDescent="0.25">
      <c r="A53" s="48"/>
      <c r="B53" s="34" t="s">
        <v>109</v>
      </c>
      <c r="C53" s="49">
        <v>1183</v>
      </c>
      <c r="D53" s="49">
        <v>1166</v>
      </c>
      <c r="E53" s="49">
        <v>1167</v>
      </c>
      <c r="F53" s="49">
        <v>1172</v>
      </c>
      <c r="G53" s="49">
        <v>1177</v>
      </c>
      <c r="H53" s="49">
        <v>1181</v>
      </c>
      <c r="I53" s="49">
        <v>1186</v>
      </c>
      <c r="J53" s="49">
        <v>1192</v>
      </c>
      <c r="K53" s="49">
        <v>1203</v>
      </c>
      <c r="L53" s="49">
        <v>1208</v>
      </c>
      <c r="M53" s="49">
        <v>1212</v>
      </c>
      <c r="N53" s="49">
        <v>1217</v>
      </c>
      <c r="O53" s="49">
        <v>1219</v>
      </c>
      <c r="P53" s="50">
        <v>2.5012283238889932E-3</v>
      </c>
      <c r="Q53" s="69">
        <f t="shared" si="0"/>
        <v>15483</v>
      </c>
    </row>
    <row r="54" spans="1:17" ht="13.2" x14ac:dyDescent="0.25">
      <c r="A54" s="48"/>
      <c r="B54" s="34" t="s">
        <v>7</v>
      </c>
      <c r="C54" s="49">
        <v>26621</v>
      </c>
      <c r="D54" s="49">
        <v>26197</v>
      </c>
      <c r="E54" s="49">
        <v>26254</v>
      </c>
      <c r="F54" s="49">
        <v>26359</v>
      </c>
      <c r="G54" s="49">
        <v>26418</v>
      </c>
      <c r="H54" s="49">
        <v>26578</v>
      </c>
      <c r="I54" s="49">
        <v>26802</v>
      </c>
      <c r="J54" s="49">
        <v>27023</v>
      </c>
      <c r="K54" s="49">
        <v>27270</v>
      </c>
      <c r="L54" s="49">
        <v>27491</v>
      </c>
      <c r="M54" s="49">
        <v>27739</v>
      </c>
      <c r="N54" s="49">
        <v>27982</v>
      </c>
      <c r="O54" s="49">
        <v>28237</v>
      </c>
      <c r="P54" s="50">
        <v>4.9231454426212906E-3</v>
      </c>
      <c r="Q54" s="69">
        <f t="shared" si="0"/>
        <v>350971</v>
      </c>
    </row>
    <row r="55" spans="1:17" ht="13.2" x14ac:dyDescent="0.25">
      <c r="A55" s="51" t="s">
        <v>146</v>
      </c>
      <c r="B55" s="34"/>
      <c r="C55" s="49">
        <v>29008</v>
      </c>
      <c r="D55" s="49">
        <v>28550</v>
      </c>
      <c r="E55" s="49">
        <v>28608</v>
      </c>
      <c r="F55" s="49">
        <v>28724</v>
      </c>
      <c r="G55" s="49">
        <v>28793</v>
      </c>
      <c r="H55" s="49">
        <v>28961</v>
      </c>
      <c r="I55" s="49">
        <v>29196</v>
      </c>
      <c r="J55" s="49">
        <v>29429</v>
      </c>
      <c r="K55" s="49">
        <v>29698</v>
      </c>
      <c r="L55" s="49">
        <v>29928</v>
      </c>
      <c r="M55" s="49">
        <v>30184</v>
      </c>
      <c r="N55" s="49">
        <v>30437</v>
      </c>
      <c r="O55" s="49">
        <v>30697</v>
      </c>
      <c r="P55" s="50">
        <v>4.7272446604225138E-3</v>
      </c>
      <c r="Q55" s="69">
        <f t="shared" si="0"/>
        <v>382213</v>
      </c>
    </row>
    <row r="56" spans="1:17" ht="13.2" x14ac:dyDescent="0.25">
      <c r="A56" s="51" t="s">
        <v>147</v>
      </c>
      <c r="B56" s="34"/>
      <c r="C56" s="49">
        <v>3827</v>
      </c>
      <c r="D56" s="49">
        <v>3801</v>
      </c>
      <c r="E56" s="49">
        <v>3872</v>
      </c>
      <c r="F56" s="49">
        <v>3922</v>
      </c>
      <c r="G56" s="49">
        <v>3970</v>
      </c>
      <c r="H56" s="49">
        <v>4025</v>
      </c>
      <c r="I56" s="49">
        <v>4087</v>
      </c>
      <c r="J56" s="49">
        <v>4151</v>
      </c>
      <c r="K56" s="49">
        <v>4228</v>
      </c>
      <c r="L56" s="49">
        <v>4300</v>
      </c>
      <c r="M56" s="49">
        <v>4370</v>
      </c>
      <c r="N56" s="49">
        <v>4441</v>
      </c>
      <c r="O56" s="49">
        <v>4504</v>
      </c>
      <c r="P56" s="50">
        <v>1.3666264922636007E-2</v>
      </c>
      <c r="Q56" s="69">
        <f t="shared" si="0"/>
        <v>53498</v>
      </c>
    </row>
    <row r="57" spans="1:17" ht="13.2" x14ac:dyDescent="0.25">
      <c r="A57" s="51" t="s">
        <v>148</v>
      </c>
      <c r="B57" s="34"/>
      <c r="C57" s="49">
        <v>233023</v>
      </c>
      <c r="D57" s="49">
        <v>235238</v>
      </c>
      <c r="E57" s="49">
        <v>235430</v>
      </c>
      <c r="F57" s="49">
        <v>236167</v>
      </c>
      <c r="G57" s="49">
        <v>236909.99999999997</v>
      </c>
      <c r="H57" s="49">
        <v>237487</v>
      </c>
      <c r="I57" s="49">
        <v>238300</v>
      </c>
      <c r="J57" s="49">
        <v>239217</v>
      </c>
      <c r="K57" s="49">
        <v>240871</v>
      </c>
      <c r="L57" s="49">
        <v>242049</v>
      </c>
      <c r="M57" s="49">
        <v>242863</v>
      </c>
      <c r="N57" s="49">
        <v>243740</v>
      </c>
      <c r="O57" s="49">
        <v>244304</v>
      </c>
      <c r="P57" s="50">
        <v>3.9474532756829106E-3</v>
      </c>
      <c r="Q57" s="69">
        <f t="shared" si="0"/>
        <v>3105599</v>
      </c>
    </row>
    <row r="58" spans="1:17" ht="13.2" x14ac:dyDescent="0.25">
      <c r="A58" s="53" t="s">
        <v>149</v>
      </c>
      <c r="B58" s="54"/>
      <c r="C58" s="55">
        <v>285218</v>
      </c>
      <c r="D58" s="55">
        <v>287292</v>
      </c>
      <c r="E58" s="55">
        <v>287862</v>
      </c>
      <c r="F58" s="55">
        <v>289043</v>
      </c>
      <c r="G58" s="55">
        <v>290095</v>
      </c>
      <c r="H58" s="55">
        <v>291096</v>
      </c>
      <c r="I58" s="55">
        <v>292401</v>
      </c>
      <c r="J58" s="55">
        <v>293805</v>
      </c>
      <c r="K58" s="55">
        <v>296009</v>
      </c>
      <c r="L58" s="55">
        <v>297692</v>
      </c>
      <c r="M58" s="55">
        <v>299030</v>
      </c>
      <c r="N58" s="55">
        <v>300413</v>
      </c>
      <c r="O58" s="55">
        <v>301480</v>
      </c>
      <c r="P58" s="50">
        <v>4.6315157018594899E-3</v>
      </c>
      <c r="Q58" s="70">
        <f t="shared" si="0"/>
        <v>3811436</v>
      </c>
    </row>
    <row r="59" spans="1:17" x14ac:dyDescent="0.3">
      <c r="A59" s="34" t="s">
        <v>150</v>
      </c>
      <c r="B59" s="34"/>
      <c r="C59" s="56"/>
      <c r="D59" s="56"/>
      <c r="E59" s="56"/>
      <c r="F59" s="56"/>
      <c r="G59" s="56"/>
      <c r="H59" s="56"/>
      <c r="I59" s="56"/>
      <c r="J59" s="56"/>
      <c r="K59" s="56"/>
      <c r="L59" s="56"/>
      <c r="M59" s="56"/>
      <c r="N59" s="56"/>
      <c r="O59" s="56"/>
      <c r="P59" s="77"/>
    </row>
    <row r="60" spans="1:17" ht="13.2" x14ac:dyDescent="0.25">
      <c r="A60" s="34" t="s">
        <v>162</v>
      </c>
      <c r="B60" s="34"/>
      <c r="C60" s="56"/>
      <c r="D60" s="56"/>
      <c r="E60" s="56"/>
      <c r="F60" s="56"/>
      <c r="G60" s="56"/>
      <c r="H60" s="56"/>
      <c r="I60" s="56"/>
      <c r="J60" s="56"/>
      <c r="K60" s="56"/>
      <c r="L60" s="56"/>
      <c r="M60" s="56"/>
      <c r="N60" s="56"/>
      <c r="O60" s="56"/>
      <c r="P60" s="57"/>
    </row>
    <row r="61" spans="1:17" ht="13.2" x14ac:dyDescent="0.25">
      <c r="A61" s="34" t="s">
        <v>163</v>
      </c>
      <c r="B61" s="34"/>
      <c r="C61" s="56"/>
      <c r="D61" s="56"/>
      <c r="E61" s="56"/>
      <c r="F61" s="56"/>
      <c r="G61" s="56"/>
      <c r="H61" s="56"/>
      <c r="I61" s="56"/>
      <c r="J61" s="56"/>
      <c r="K61" s="56"/>
      <c r="L61" s="56"/>
      <c r="M61" s="56"/>
      <c r="N61" s="56"/>
      <c r="O61" s="56"/>
      <c r="P61" s="57"/>
    </row>
    <row r="62" spans="1:17" ht="13.2" x14ac:dyDescent="0.25">
      <c r="A62" s="34" t="s">
        <v>151</v>
      </c>
      <c r="B62" s="34"/>
      <c r="C62" s="56"/>
      <c r="D62" s="56"/>
      <c r="E62" s="56"/>
      <c r="F62" s="56"/>
      <c r="G62" s="56"/>
      <c r="H62" s="56"/>
      <c r="I62" s="56"/>
      <c r="J62" s="56"/>
      <c r="K62" s="56"/>
      <c r="L62" s="56"/>
      <c r="M62" s="56"/>
      <c r="N62" s="56"/>
      <c r="O62" s="56"/>
      <c r="P62" s="57"/>
    </row>
    <row r="63" spans="1:17" x14ac:dyDescent="0.3">
      <c r="A63" s="34"/>
      <c r="B63" s="34"/>
      <c r="C63" s="56"/>
      <c r="D63" s="56"/>
      <c r="E63" s="56"/>
      <c r="F63" s="56"/>
      <c r="G63" s="56"/>
      <c r="H63" s="56"/>
      <c r="I63" s="56"/>
      <c r="J63" s="56"/>
      <c r="K63" s="56"/>
      <c r="L63" s="56"/>
      <c r="M63" s="57"/>
    </row>
    <row r="64" spans="1:17" x14ac:dyDescent="0.3">
      <c r="A64" s="34"/>
      <c r="B64" s="34"/>
      <c r="C64" s="34"/>
      <c r="D64" s="34"/>
      <c r="E64" s="34"/>
      <c r="F64" s="34"/>
      <c r="G64" s="34"/>
      <c r="H64" s="34"/>
      <c r="I64" s="34"/>
      <c r="J64" s="34"/>
      <c r="K64" s="34"/>
      <c r="L64" s="34"/>
    </row>
    <row r="65" spans="1:1" x14ac:dyDescent="0.3">
      <c r="A65" s="35"/>
    </row>
  </sheetData>
  <hyperlinks>
    <hyperlink ref="F4" r:id="rId1"/>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 min="16" max="17" width="12" customWidth="1"/>
    <col min="18" max="18" width="8.6640625" customWidth="1"/>
    <col min="19" max="19" width="14.33203125" customWidth="1"/>
    <col min="20" max="20" width="10.6640625" bestFit="1" customWidth="1"/>
  </cols>
  <sheetData>
    <row r="1" spans="1:16" s="58" customFormat="1" ht="15.6" x14ac:dyDescent="0.3">
      <c r="A1" s="97" t="s">
        <v>26</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74.400000000000006" x14ac:dyDescent="0.35">
      <c r="A3" s="99" t="s">
        <v>166</v>
      </c>
      <c r="B3" s="61">
        <v>1425777</v>
      </c>
      <c r="C3" s="61">
        <v>1433777</v>
      </c>
      <c r="D3" s="61">
        <v>1437777</v>
      </c>
      <c r="E3" s="61">
        <v>1440777</v>
      </c>
      <c r="F3" s="61">
        <v>1444777</v>
      </c>
      <c r="G3" s="61">
        <v>1445777</v>
      </c>
      <c r="H3" s="65">
        <f>AVERAGE(E3:G3)*(1+$N$8)</f>
        <v>1449687.0938243645</v>
      </c>
      <c r="I3" s="65">
        <f t="shared" ref="I3:K4" si="0">H3*(1+$N$8)</f>
        <v>1455621.3805878137</v>
      </c>
      <c r="J3" s="65">
        <f t="shared" si="0"/>
        <v>1461579.9593240209</v>
      </c>
      <c r="K3" s="65">
        <f t="shared" si="0"/>
        <v>1467562.9294720534</v>
      </c>
      <c r="L3" s="133" t="s">
        <v>268</v>
      </c>
      <c r="N3" s="62">
        <v>0.91839999999999999</v>
      </c>
      <c r="O3" s="8" t="s">
        <v>199</v>
      </c>
    </row>
    <row r="4" spans="1:16" s="58" customFormat="1" ht="73.8" x14ac:dyDescent="0.3">
      <c r="A4" s="99" t="s">
        <v>167</v>
      </c>
      <c r="B4" s="61">
        <v>1346777</v>
      </c>
      <c r="C4" s="61">
        <v>1353777</v>
      </c>
      <c r="D4" s="61">
        <v>1357777</v>
      </c>
      <c r="E4" s="61">
        <v>1360777</v>
      </c>
      <c r="F4" s="61">
        <v>1364777</v>
      </c>
      <c r="G4" s="61">
        <v>1365777</v>
      </c>
      <c r="H4" s="65">
        <f>AVERAGE(E4:G4)*(1+$N$8)</f>
        <v>1369359.6142302519</v>
      </c>
      <c r="I4" s="61">
        <f t="shared" si="0"/>
        <v>1374965.0808635314</v>
      </c>
      <c r="J4" s="61">
        <f t="shared" si="0"/>
        <v>1380593.4934460344</v>
      </c>
      <c r="K4" s="61">
        <f t="shared" si="0"/>
        <v>1386244.9459068875</v>
      </c>
      <c r="L4" s="133" t="s">
        <v>269</v>
      </c>
      <c r="N4" s="68">
        <f>0.15</f>
        <v>0.15</v>
      </c>
      <c r="O4" s="84" t="s">
        <v>165</v>
      </c>
    </row>
    <row r="5" spans="1:16" s="58" customFormat="1" ht="28.8" x14ac:dyDescent="0.3">
      <c r="A5" s="99" t="s">
        <v>191</v>
      </c>
      <c r="B5" s="61">
        <f>IF(0&lt;(B3-B4)/B3,B4,B3*(1-$N$5))</f>
        <v>1346777</v>
      </c>
      <c r="C5" s="61">
        <f t="shared" ref="C5:K5" si="1">IF(0&lt;(C3-C4)/C3,C4,C3*(1-$N$5))</f>
        <v>1353777</v>
      </c>
      <c r="D5" s="61">
        <f t="shared" si="1"/>
        <v>1357777</v>
      </c>
      <c r="E5" s="61">
        <f t="shared" si="1"/>
        <v>1360777</v>
      </c>
      <c r="F5" s="61">
        <f t="shared" si="1"/>
        <v>1364777</v>
      </c>
      <c r="G5" s="61">
        <f t="shared" si="1"/>
        <v>1365777</v>
      </c>
      <c r="H5" s="61">
        <f t="shared" si="1"/>
        <v>1369359.6142302519</v>
      </c>
      <c r="I5" s="61">
        <f t="shared" si="1"/>
        <v>1374965.0808635314</v>
      </c>
      <c r="J5" s="61">
        <f t="shared" si="1"/>
        <v>1380593.4934460344</v>
      </c>
      <c r="K5" s="61">
        <f t="shared" si="1"/>
        <v>1386244.9459068875</v>
      </c>
      <c r="L5" s="84" t="s">
        <v>271</v>
      </c>
      <c r="N5" s="68">
        <f>0.07</f>
        <v>7.0000000000000007E-2</v>
      </c>
      <c r="O5" s="84" t="s">
        <v>275</v>
      </c>
    </row>
    <row r="6" spans="1:16" s="58" customFormat="1" x14ac:dyDescent="0.3">
      <c r="A6" s="99" t="s">
        <v>168</v>
      </c>
      <c r="B6" s="61">
        <v>0</v>
      </c>
      <c r="C6" s="61">
        <v>0</v>
      </c>
      <c r="D6" s="61">
        <v>0</v>
      </c>
      <c r="E6" s="61">
        <v>0</v>
      </c>
      <c r="F6" s="61">
        <v>0</v>
      </c>
      <c r="G6" s="61">
        <v>0</v>
      </c>
      <c r="H6" s="61">
        <v>0</v>
      </c>
      <c r="I6" s="61">
        <v>0</v>
      </c>
      <c r="J6" s="61">
        <v>0</v>
      </c>
      <c r="K6" s="61">
        <v>0</v>
      </c>
      <c r="L6" s="112" t="s">
        <v>223</v>
      </c>
      <c r="N6" s="63">
        <v>0.05</v>
      </c>
      <c r="O6" s="84" t="s">
        <v>200</v>
      </c>
    </row>
    <row r="7" spans="1:16" s="58" customFormat="1" ht="43.2" x14ac:dyDescent="0.3">
      <c r="A7" s="99" t="s">
        <v>169</v>
      </c>
      <c r="B7" s="61">
        <v>92745.999999999985</v>
      </c>
      <c r="C7" s="61">
        <v>92745.999999999985</v>
      </c>
      <c r="D7" s="61">
        <v>92745.999999999985</v>
      </c>
      <c r="E7" s="61">
        <v>92745.999999999985</v>
      </c>
      <c r="F7" s="61">
        <f>AVERAGE(C7:E7)</f>
        <v>92745.999999999985</v>
      </c>
      <c r="G7" s="61">
        <f>F7</f>
        <v>92745.999999999985</v>
      </c>
      <c r="H7" s="61">
        <f t="shared" ref="H7:K8" si="2">G7</f>
        <v>92745.999999999985</v>
      </c>
      <c r="I7" s="61">
        <f t="shared" si="2"/>
        <v>92745.999999999985</v>
      </c>
      <c r="J7" s="61">
        <f t="shared" si="2"/>
        <v>92745.999999999985</v>
      </c>
      <c r="K7" s="61">
        <f t="shared" si="2"/>
        <v>92745.999999999985</v>
      </c>
      <c r="L7" s="84" t="s">
        <v>234</v>
      </c>
      <c r="O7" s="101"/>
    </row>
    <row r="8" spans="1:16" s="58" customFormat="1" ht="28.8" x14ac:dyDescent="0.3">
      <c r="A8" s="99" t="s">
        <v>170</v>
      </c>
      <c r="B8" s="65">
        <v>25000</v>
      </c>
      <c r="C8" s="65">
        <v>25000</v>
      </c>
      <c r="D8" s="65">
        <v>25000</v>
      </c>
      <c r="E8" s="65">
        <v>25000</v>
      </c>
      <c r="F8" s="61">
        <f>AVERAGE(C8:E8)</f>
        <v>25000</v>
      </c>
      <c r="G8" s="61">
        <f>F8</f>
        <v>25000</v>
      </c>
      <c r="H8" s="61">
        <f t="shared" si="2"/>
        <v>25000</v>
      </c>
      <c r="I8" s="61">
        <f t="shared" si="2"/>
        <v>25000</v>
      </c>
      <c r="J8" s="61">
        <f t="shared" si="2"/>
        <v>25000</v>
      </c>
      <c r="K8" s="61">
        <f t="shared" si="2"/>
        <v>25000</v>
      </c>
      <c r="L8" s="84" t="s">
        <v>230</v>
      </c>
      <c r="N8" s="64">
        <v>4.0934949264079812E-3</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404033.1</v>
      </c>
      <c r="C10" s="61">
        <f t="shared" ref="C10:K10" si="3">C5*C9</f>
        <v>419670.87</v>
      </c>
      <c r="D10" s="61">
        <f t="shared" si="3"/>
        <v>448066.41000000003</v>
      </c>
      <c r="E10" s="61">
        <f t="shared" si="3"/>
        <v>476271.94999999995</v>
      </c>
      <c r="F10" s="61">
        <f t="shared" si="3"/>
        <v>504967.49</v>
      </c>
      <c r="G10" s="61">
        <f t="shared" si="3"/>
        <v>518995.26</v>
      </c>
      <c r="H10" s="61">
        <f t="shared" si="3"/>
        <v>547743.84569210082</v>
      </c>
      <c r="I10" s="61">
        <f t="shared" si="3"/>
        <v>577485.33396268322</v>
      </c>
      <c r="J10" s="61">
        <f t="shared" si="3"/>
        <v>593655.2021817948</v>
      </c>
      <c r="K10" s="61">
        <f t="shared" si="3"/>
        <v>623810.2256580994</v>
      </c>
      <c r="L10" s="84" t="s">
        <v>376</v>
      </c>
      <c r="N10" s="122"/>
      <c r="O10" s="60"/>
    </row>
    <row r="11" spans="1:16" s="58" customFormat="1" ht="28.8" x14ac:dyDescent="0.3">
      <c r="A11" s="99" t="s">
        <v>172</v>
      </c>
      <c r="B11" s="61">
        <f t="shared" ref="B11:K11" si="4">MAX(B3-SUM(B6:B8,B10), B3*$N$6)</f>
        <v>903997.9</v>
      </c>
      <c r="C11" s="61">
        <f t="shared" si="4"/>
        <v>896360.13</v>
      </c>
      <c r="D11" s="61">
        <f t="shared" si="4"/>
        <v>871964.59</v>
      </c>
      <c r="E11" s="61">
        <f t="shared" si="4"/>
        <v>846759.05</v>
      </c>
      <c r="F11" s="61">
        <f t="shared" si="4"/>
        <v>822063.51</v>
      </c>
      <c r="G11" s="61">
        <f t="shared" si="4"/>
        <v>809035.74</v>
      </c>
      <c r="H11" s="61">
        <f t="shared" si="4"/>
        <v>784197.24813226366</v>
      </c>
      <c r="I11" s="61">
        <f t="shared" si="4"/>
        <v>760390.04662513046</v>
      </c>
      <c r="J11" s="61">
        <f t="shared" si="4"/>
        <v>750178.7571422261</v>
      </c>
      <c r="K11" s="61">
        <f t="shared" si="4"/>
        <v>726006.70381395402</v>
      </c>
      <c r="L11" s="84" t="s">
        <v>203</v>
      </c>
    </row>
    <row r="12" spans="1:16" s="58" customFormat="1" ht="43.8" x14ac:dyDescent="0.35">
      <c r="A12" s="99" t="s">
        <v>194</v>
      </c>
      <c r="B12" s="61">
        <f t="shared" ref="B12:K12" si="5">B6*$N$3+B11*$N$2</f>
        <v>393600.68566000002</v>
      </c>
      <c r="C12" s="61">
        <f t="shared" si="5"/>
        <v>390275.200602</v>
      </c>
      <c r="D12" s="61">
        <f t="shared" si="5"/>
        <v>379653.38248600002</v>
      </c>
      <c r="E12" s="61">
        <f t="shared" si="5"/>
        <v>368678.89037000004</v>
      </c>
      <c r="F12" s="61">
        <f t="shared" si="5"/>
        <v>357926.452254</v>
      </c>
      <c r="G12" s="61">
        <f t="shared" si="5"/>
        <v>352254.161196</v>
      </c>
      <c r="H12" s="61">
        <f t="shared" si="5"/>
        <v>341439.4818367876</v>
      </c>
      <c r="I12" s="61">
        <f t="shared" si="5"/>
        <v>331073.8263005818</v>
      </c>
      <c r="J12" s="61">
        <f t="shared" si="5"/>
        <v>326627.83085972525</v>
      </c>
      <c r="K12" s="61">
        <f t="shared" si="5"/>
        <v>316103.3188405956</v>
      </c>
      <c r="L12" s="102" t="s">
        <v>204</v>
      </c>
    </row>
    <row r="13" spans="1:16" s="58" customFormat="1" ht="72" x14ac:dyDescent="0.3">
      <c r="A13" s="99"/>
      <c r="B13" s="204" t="s">
        <v>205</v>
      </c>
      <c r="C13" s="205"/>
      <c r="D13" s="205"/>
      <c r="E13" s="205"/>
      <c r="F13" s="205"/>
      <c r="G13" s="205"/>
      <c r="H13" s="205"/>
      <c r="I13" s="205"/>
      <c r="J13" s="206"/>
      <c r="K13" s="177">
        <v>100828.67733333334</v>
      </c>
      <c r="L13" s="102" t="s">
        <v>368</v>
      </c>
    </row>
    <row r="14" spans="1:16" s="58" customFormat="1" ht="30" x14ac:dyDescent="0.35">
      <c r="A14" s="99" t="s">
        <v>195</v>
      </c>
      <c r="B14" s="80">
        <f t="shared" ref="B14:K14" si="6">B12/B3</f>
        <v>0.27606048187058707</v>
      </c>
      <c r="C14" s="80">
        <f t="shared" si="6"/>
        <v>0.27220076804272908</v>
      </c>
      <c r="D14" s="80">
        <f t="shared" si="6"/>
        <v>0.26405581845167925</v>
      </c>
      <c r="E14" s="80">
        <f t="shared" si="6"/>
        <v>0.25588893379752731</v>
      </c>
      <c r="F14" s="80">
        <f t="shared" si="6"/>
        <v>0.24773819921967197</v>
      </c>
      <c r="G14" s="80">
        <f t="shared" si="6"/>
        <v>0.24364349494839108</v>
      </c>
      <c r="H14" s="80">
        <f t="shared" si="6"/>
        <v>0.23552633067598683</v>
      </c>
      <c r="I14" s="80">
        <f t="shared" si="6"/>
        <v>0.22744501469666961</v>
      </c>
      <c r="J14" s="80">
        <f t="shared" si="6"/>
        <v>0.22347585486242591</v>
      </c>
      <c r="K14" s="80">
        <f t="shared" si="6"/>
        <v>0.21539336575795887</v>
      </c>
      <c r="L14" s="84" t="s">
        <v>206</v>
      </c>
    </row>
    <row r="15" spans="1:16" s="58" customFormat="1" ht="30.6" thickBot="1" x14ac:dyDescent="0.4">
      <c r="A15" s="99" t="s">
        <v>196</v>
      </c>
      <c r="B15" s="79">
        <f>$K$13*B14</f>
        <v>27834.813251013944</v>
      </c>
      <c r="C15" s="79">
        <f t="shared" ref="C15:K15" si="7">$K$13*C14</f>
        <v>27445.643410865843</v>
      </c>
      <c r="D15" s="79">
        <f t="shared" si="7"/>
        <v>26624.398916653616</v>
      </c>
      <c r="E15" s="79">
        <f t="shared" si="7"/>
        <v>25800.942739041577</v>
      </c>
      <c r="F15" s="79">
        <f t="shared" si="7"/>
        <v>24979.11495226136</v>
      </c>
      <c r="G15" s="79">
        <f t="shared" si="7"/>
        <v>24566.251336516954</v>
      </c>
      <c r="H15" s="79">
        <f t="shared" si="7"/>
        <v>23747.808399233047</v>
      </c>
      <c r="I15" s="79">
        <f t="shared" si="7"/>
        <v>22932.979997925759</v>
      </c>
      <c r="J15" s="79">
        <f t="shared" si="7"/>
        <v>22532.774861714373</v>
      </c>
      <c r="K15" s="79">
        <f t="shared" si="7"/>
        <v>21717.828175749884</v>
      </c>
      <c r="L15" s="84" t="s">
        <v>250</v>
      </c>
      <c r="N15"/>
      <c r="O15"/>
    </row>
    <row r="16" spans="1:16" ht="29.4" thickBot="1" x14ac:dyDescent="0.35">
      <c r="A16" s="179" t="s">
        <v>197</v>
      </c>
      <c r="B16" s="81">
        <f t="shared" ref="B16:K16" si="8">B12-B15</f>
        <v>365765.87240898609</v>
      </c>
      <c r="C16" s="81">
        <f t="shared" si="8"/>
        <v>362829.55719113414</v>
      </c>
      <c r="D16" s="81">
        <f t="shared" si="8"/>
        <v>353028.98356934643</v>
      </c>
      <c r="E16" s="81">
        <f t="shared" si="8"/>
        <v>342877.94763095846</v>
      </c>
      <c r="F16" s="81">
        <f t="shared" si="8"/>
        <v>332947.33730173862</v>
      </c>
      <c r="G16" s="81">
        <f t="shared" si="8"/>
        <v>327687.90985948307</v>
      </c>
      <c r="H16" s="81">
        <f t="shared" si="8"/>
        <v>317691.67343755456</v>
      </c>
      <c r="I16" s="81">
        <f t="shared" si="8"/>
        <v>308140.84630265605</v>
      </c>
      <c r="J16" s="81">
        <f t="shared" si="8"/>
        <v>304095.05599801085</v>
      </c>
      <c r="K16" s="81">
        <f t="shared" si="8"/>
        <v>294385.49066484574</v>
      </c>
      <c r="L16" s="88" t="s">
        <v>265</v>
      </c>
    </row>
    <row r="17" spans="1:14" s="121" customFormat="1" x14ac:dyDescent="0.3">
      <c r="A17" s="131" t="s">
        <v>218</v>
      </c>
      <c r="B17" s="82"/>
      <c r="C17" s="82"/>
      <c r="D17" s="82"/>
      <c r="E17" s="82"/>
      <c r="F17" s="82"/>
      <c r="G17" s="82"/>
      <c r="H17" s="82"/>
      <c r="I17" s="82"/>
      <c r="J17" s="82"/>
      <c r="K17" s="82"/>
      <c r="L17" s="2"/>
    </row>
    <row r="18" spans="1:14" s="121" customFormat="1" ht="16.2" x14ac:dyDescent="0.3">
      <c r="A18" s="132" t="s">
        <v>360</v>
      </c>
      <c r="B18" s="82"/>
      <c r="C18" s="82"/>
      <c r="D18" s="82"/>
      <c r="E18" s="82"/>
      <c r="F18" s="82"/>
      <c r="G18" s="82"/>
      <c r="H18" s="82"/>
      <c r="I18" s="82"/>
      <c r="J18" s="82"/>
      <c r="K18" s="82"/>
      <c r="L18" s="2"/>
      <c r="N18" s="4"/>
    </row>
  </sheetData>
  <mergeCells count="3">
    <mergeCell ref="B1:L1"/>
    <mergeCell ref="N1:O1"/>
    <mergeCell ref="B13:J1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105</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80342.206404044729</v>
      </c>
      <c r="C3" s="65">
        <f>B3*(1+$N$8)</f>
        <v>80681.992003112638</v>
      </c>
      <c r="D3" s="65">
        <f>C3*(1+$N$8)</f>
        <v>81023.21463333143</v>
      </c>
      <c r="E3" s="65">
        <f>D3*(1+$N$8)</f>
        <v>81365.880372235115</v>
      </c>
      <c r="F3" s="65">
        <f>E3*(1+$N$8)</f>
        <v>81709.995323060954</v>
      </c>
      <c r="G3" s="65">
        <f>F3*(1+$N$8)</f>
        <v>82055.56561485822</v>
      </c>
      <c r="H3" s="65">
        <f t="shared" ref="H3:K4" si="0">G3*(1+$N$8)</f>
        <v>82402.597402597326</v>
      </c>
      <c r="I3" s="65">
        <f t="shared" si="0"/>
        <v>82751.096867279484</v>
      </c>
      <c r="J3" s="65">
        <f t="shared" si="0"/>
        <v>83101.070216046763</v>
      </c>
      <c r="K3" s="65">
        <f t="shared" si="0"/>
        <v>83452.523682292638</v>
      </c>
      <c r="L3" s="84" t="s">
        <v>210</v>
      </c>
      <c r="N3" s="62">
        <v>0.91839999999999999</v>
      </c>
      <c r="O3" s="8" t="s">
        <v>199</v>
      </c>
    </row>
    <row r="4" spans="1:18" s="58" customFormat="1" ht="57.6" x14ac:dyDescent="0.3">
      <c r="A4" s="99" t="s">
        <v>167</v>
      </c>
      <c r="B4" s="61">
        <f>SUMIFS('Form 1.1c'!J:J, 'Form 1.1c'!$B:$B, "Victorville Municipal")*1000</f>
        <v>80000</v>
      </c>
      <c r="C4" s="61">
        <f>SUMIFS('Form 1.1c'!K:K, 'Form 1.1c'!$B:$B, "Victorville Municipal")*1000</f>
        <v>80000</v>
      </c>
      <c r="D4" s="61">
        <f>SUMIFS('Form 1.1c'!L:L, 'Form 1.1c'!$B:$B, "Victorville Municipal")*1000</f>
        <v>80000</v>
      </c>
      <c r="E4" s="61">
        <f>SUMIFS('Form 1.1c'!M:M, 'Form 1.1c'!$B:$B, "Victorville Municipal")*1000</f>
        <v>81000</v>
      </c>
      <c r="F4" s="61">
        <f>SUMIFS('Form 1.1c'!N:N, 'Form 1.1c'!$B:$B, "Victorville Municipal")*1000</f>
        <v>81000</v>
      </c>
      <c r="G4" s="61">
        <f>SUMIFS('Form 1.1c'!O:O, 'Form 1.1c'!$B:$B, "Victorville Municipal")*1000</f>
        <v>81000</v>
      </c>
      <c r="H4" s="65">
        <f>AVERAGE(E4:G4)*(1+$N$8)</f>
        <v>81342.567558900337</v>
      </c>
      <c r="I4" s="61">
        <f t="shared" si="0"/>
        <v>81686.583914497096</v>
      </c>
      <c r="J4" s="61">
        <f t="shared" si="0"/>
        <v>82032.05519408347</v>
      </c>
      <c r="K4" s="61">
        <f t="shared" si="0"/>
        <v>82378.987550866368</v>
      </c>
      <c r="L4" s="84" t="s">
        <v>211</v>
      </c>
      <c r="N4" s="68">
        <f>0.15</f>
        <v>0.15</v>
      </c>
      <c r="O4" s="84" t="s">
        <v>165</v>
      </c>
    </row>
    <row r="5" spans="1:18" s="58" customFormat="1" ht="28.8" x14ac:dyDescent="0.3">
      <c r="A5" s="99" t="s">
        <v>191</v>
      </c>
      <c r="B5" s="61">
        <f>IF(0&lt;(B3-B4)/B3,B4,B3*(1-$N$5))</f>
        <v>80000</v>
      </c>
      <c r="C5" s="61">
        <f t="shared" ref="C5:K5" si="1">IF(0&lt;(C3-C4)/C3,C4,C3*(1-$N$5))</f>
        <v>80000</v>
      </c>
      <c r="D5" s="61">
        <f t="shared" si="1"/>
        <v>80000</v>
      </c>
      <c r="E5" s="61">
        <f t="shared" si="1"/>
        <v>81000</v>
      </c>
      <c r="F5" s="61">
        <f t="shared" si="1"/>
        <v>81000</v>
      </c>
      <c r="G5" s="61">
        <f t="shared" si="1"/>
        <v>81000</v>
      </c>
      <c r="H5" s="61">
        <f t="shared" si="1"/>
        <v>81342.567558900337</v>
      </c>
      <c r="I5" s="61">
        <f t="shared" si="1"/>
        <v>81686.583914497096</v>
      </c>
      <c r="J5" s="61">
        <f t="shared" si="1"/>
        <v>82032.05519408347</v>
      </c>
      <c r="K5" s="61">
        <f t="shared" si="1"/>
        <v>82378.987550866368</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4.2292291222263412E-3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24000</v>
      </c>
      <c r="C10" s="61">
        <f t="shared" ref="C10:K10" si="2">C5*C9</f>
        <v>24800</v>
      </c>
      <c r="D10" s="61">
        <f t="shared" si="2"/>
        <v>26400</v>
      </c>
      <c r="E10" s="61">
        <f t="shared" si="2"/>
        <v>28350</v>
      </c>
      <c r="F10" s="61">
        <f t="shared" si="2"/>
        <v>29970</v>
      </c>
      <c r="G10" s="61">
        <f t="shared" si="2"/>
        <v>30780</v>
      </c>
      <c r="H10" s="61">
        <f t="shared" si="2"/>
        <v>32537.027023560135</v>
      </c>
      <c r="I10" s="61">
        <f t="shared" si="2"/>
        <v>34308.365244088782</v>
      </c>
      <c r="J10" s="61">
        <f t="shared" si="2"/>
        <v>35273.783733455894</v>
      </c>
      <c r="K10" s="61">
        <f t="shared" si="2"/>
        <v>37070.544397889869</v>
      </c>
      <c r="L10" s="84" t="s">
        <v>376</v>
      </c>
      <c r="N10" s="122"/>
      <c r="O10" s="60"/>
    </row>
    <row r="11" spans="1:18" s="58" customFormat="1" ht="28.8" x14ac:dyDescent="0.3">
      <c r="A11" s="99" t="s">
        <v>172</v>
      </c>
      <c r="B11" s="61">
        <f t="shared" ref="B11:K11" si="3">MAX(B3-SUM(B6:B8,B10), B3*$N$6)</f>
        <v>56342.206404044729</v>
      </c>
      <c r="C11" s="61">
        <f t="shared" si="3"/>
        <v>55881.992003112638</v>
      </c>
      <c r="D11" s="61">
        <f t="shared" si="3"/>
        <v>54623.21463333143</v>
      </c>
      <c r="E11" s="61">
        <f t="shared" si="3"/>
        <v>53015.880372235115</v>
      </c>
      <c r="F11" s="61">
        <f t="shared" si="3"/>
        <v>51739.995323060954</v>
      </c>
      <c r="G11" s="61">
        <f t="shared" si="3"/>
        <v>51275.56561485822</v>
      </c>
      <c r="H11" s="61">
        <f t="shared" si="3"/>
        <v>49865.570379037192</v>
      </c>
      <c r="I11" s="61">
        <f t="shared" si="3"/>
        <v>48442.731623190703</v>
      </c>
      <c r="J11" s="61">
        <f t="shared" si="3"/>
        <v>47827.286482590869</v>
      </c>
      <c r="K11" s="61">
        <f t="shared" si="3"/>
        <v>46381.979284402769</v>
      </c>
      <c r="L11" s="84" t="s">
        <v>203</v>
      </c>
    </row>
    <row r="12" spans="1:18" s="58" customFormat="1" ht="43.8" x14ac:dyDescent="0.35">
      <c r="A12" s="99" t="s">
        <v>194</v>
      </c>
      <c r="B12" s="61">
        <f t="shared" ref="B12:K12" si="4">B6*$N$3+B11*$N$2</f>
        <v>24531.396668321075</v>
      </c>
      <c r="C12" s="61">
        <f t="shared" si="4"/>
        <v>24331.019318155242</v>
      </c>
      <c r="D12" s="61">
        <f t="shared" si="4"/>
        <v>23782.947651352504</v>
      </c>
      <c r="E12" s="61">
        <f t="shared" si="4"/>
        <v>23083.114314071168</v>
      </c>
      <c r="F12" s="61">
        <f t="shared" si="4"/>
        <v>22527.59396366074</v>
      </c>
      <c r="G12" s="61">
        <f t="shared" si="4"/>
        <v>22325.381268709269</v>
      </c>
      <c r="H12" s="61">
        <f t="shared" si="4"/>
        <v>21711.469343032793</v>
      </c>
      <c r="I12" s="61">
        <f t="shared" si="4"/>
        <v>21091.965348737231</v>
      </c>
      <c r="J12" s="61">
        <f t="shared" si="4"/>
        <v>20824.000534520066</v>
      </c>
      <c r="K12" s="61">
        <f t="shared" si="4"/>
        <v>20194.713780428967</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5">B12/B3</f>
        <v>0.30533635764185424</v>
      </c>
      <c r="C14" s="80">
        <f t="shared" si="5"/>
        <v>0.30156691368275307</v>
      </c>
      <c r="D14" s="80">
        <f t="shared" si="5"/>
        <v>0.29353251113253959</v>
      </c>
      <c r="E14" s="80">
        <f t="shared" si="5"/>
        <v>0.2836952566416025</v>
      </c>
      <c r="F14" s="80">
        <f t="shared" si="5"/>
        <v>0.27570181438136482</v>
      </c>
      <c r="G14" s="80">
        <f t="shared" si="5"/>
        <v>0.27207638021163916</v>
      </c>
      <c r="H14" s="80">
        <f t="shared" si="5"/>
        <v>0.26348040022277802</v>
      </c>
      <c r="I14" s="80">
        <f t="shared" si="5"/>
        <v>0.25488442023391694</v>
      </c>
      <c r="J14" s="80">
        <f t="shared" si="5"/>
        <v>0.25058643023948646</v>
      </c>
      <c r="K14" s="80">
        <f t="shared" si="5"/>
        <v>0.24199045025062529</v>
      </c>
      <c r="L14" s="84" t="s">
        <v>206</v>
      </c>
    </row>
    <row r="15" spans="1:18" s="58" customFormat="1" ht="30.6" thickBot="1" x14ac:dyDescent="0.4">
      <c r="A15" s="99" t="s">
        <v>196</v>
      </c>
      <c r="B15" s="79">
        <f>$K$13*B14</f>
        <v>0</v>
      </c>
      <c r="C15" s="79">
        <f t="shared" ref="C15:K15" si="6">$K$13*C14</f>
        <v>0</v>
      </c>
      <c r="D15" s="79">
        <f t="shared" si="6"/>
        <v>0</v>
      </c>
      <c r="E15" s="79">
        <f t="shared" si="6"/>
        <v>0</v>
      </c>
      <c r="F15" s="79">
        <f t="shared" si="6"/>
        <v>0</v>
      </c>
      <c r="G15" s="79">
        <f t="shared" si="6"/>
        <v>0</v>
      </c>
      <c r="H15" s="79">
        <f t="shared" si="6"/>
        <v>0</v>
      </c>
      <c r="I15" s="79">
        <f t="shared" si="6"/>
        <v>0</v>
      </c>
      <c r="J15" s="79">
        <f t="shared" si="6"/>
        <v>0</v>
      </c>
      <c r="K15" s="79">
        <f t="shared" si="6"/>
        <v>0</v>
      </c>
      <c r="L15" s="84" t="s">
        <v>250</v>
      </c>
    </row>
    <row r="16" spans="1:18" ht="29.4" thickBot="1" x14ac:dyDescent="0.35">
      <c r="A16" s="179" t="s">
        <v>197</v>
      </c>
      <c r="B16" s="81">
        <f t="shared" ref="B16:K16" si="7">B12-B15</f>
        <v>24531.396668321075</v>
      </c>
      <c r="C16" s="81">
        <f t="shared" si="7"/>
        <v>24331.019318155242</v>
      </c>
      <c r="D16" s="81">
        <f t="shared" si="7"/>
        <v>23782.947651352504</v>
      </c>
      <c r="E16" s="81">
        <f t="shared" si="7"/>
        <v>23083.114314071168</v>
      </c>
      <c r="F16" s="81">
        <f t="shared" si="7"/>
        <v>22527.59396366074</v>
      </c>
      <c r="G16" s="81">
        <f t="shared" si="7"/>
        <v>22325.381268709269</v>
      </c>
      <c r="H16" s="81">
        <f t="shared" si="7"/>
        <v>21711.469343032793</v>
      </c>
      <c r="I16" s="81">
        <f t="shared" si="7"/>
        <v>21091.965348737231</v>
      </c>
      <c r="J16" s="81">
        <f t="shared" si="7"/>
        <v>20824.000534520066</v>
      </c>
      <c r="K16" s="81">
        <f t="shared" si="7"/>
        <v>20194.713780428967</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16</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25777.543514154604</v>
      </c>
      <c r="C3" s="65">
        <f t="shared" ref="C3:K3" si="0">B3*(1+$N$8)</f>
        <v>25883.392566588383</v>
      </c>
      <c r="D3" s="65">
        <f t="shared" si="0"/>
        <v>25989.676261752764</v>
      </c>
      <c r="E3" s="65">
        <f t="shared" si="0"/>
        <v>26096.396384399697</v>
      </c>
      <c r="F3" s="65">
        <f t="shared" si="0"/>
        <v>26203.554726609778</v>
      </c>
      <c r="G3" s="65">
        <f t="shared" si="0"/>
        <v>26311.153087822331</v>
      </c>
      <c r="H3" s="65">
        <f t="shared" si="0"/>
        <v>26419.193274865633</v>
      </c>
      <c r="I3" s="65">
        <f t="shared" si="0"/>
        <v>26527.677101987247</v>
      </c>
      <c r="J3" s="65">
        <f t="shared" si="0"/>
        <v>26636.606390884492</v>
      </c>
      <c r="K3" s="65">
        <f t="shared" si="0"/>
        <v>26745.982970735033</v>
      </c>
      <c r="L3" s="84" t="s">
        <v>210</v>
      </c>
      <c r="N3" s="62">
        <v>0.91839999999999999</v>
      </c>
      <c r="O3" s="8" t="s">
        <v>199</v>
      </c>
    </row>
    <row r="4" spans="1:18" s="58" customFormat="1" ht="28.8" x14ac:dyDescent="0.3">
      <c r="A4" s="99" t="s">
        <v>167</v>
      </c>
      <c r="B4" s="61">
        <f>B3*(1-$N$5)</f>
        <v>23973.115468163782</v>
      </c>
      <c r="C4" s="61">
        <f t="shared" ref="C4:K4" si="1">C3*(1-$N$5)</f>
        <v>24071.555086927194</v>
      </c>
      <c r="D4" s="61">
        <f t="shared" si="1"/>
        <v>24170.398923430068</v>
      </c>
      <c r="E4" s="61">
        <f t="shared" si="1"/>
        <v>24269.648637491715</v>
      </c>
      <c r="F4" s="61">
        <f t="shared" si="1"/>
        <v>24369.305895747093</v>
      </c>
      <c r="G4" s="61">
        <f t="shared" si="1"/>
        <v>24469.372371674766</v>
      </c>
      <c r="H4" s="61">
        <f t="shared" si="1"/>
        <v>24569.849745625037</v>
      </c>
      <c r="I4" s="61">
        <f t="shared" si="1"/>
        <v>24670.739704848136</v>
      </c>
      <c r="J4" s="61">
        <f t="shared" si="1"/>
        <v>24772.043943522574</v>
      </c>
      <c r="K4" s="61">
        <f t="shared" si="1"/>
        <v>24873.76416278358</v>
      </c>
      <c r="L4" s="84" t="s">
        <v>229</v>
      </c>
      <c r="N4" s="68">
        <f>0.15</f>
        <v>0.15</v>
      </c>
      <c r="O4" s="84" t="s">
        <v>165</v>
      </c>
    </row>
    <row r="5" spans="1:18" s="58" customFormat="1" ht="28.8" x14ac:dyDescent="0.3">
      <c r="A5" s="99" t="s">
        <v>191</v>
      </c>
      <c r="B5" s="61">
        <f>IF(0&lt;(B3-B4)/B3,B4,B3*(1-$N$5))</f>
        <v>23973.115468163782</v>
      </c>
      <c r="C5" s="61">
        <f t="shared" ref="C5:K5" si="2">IF(0&lt;(C3-C4)/C3,C4,C3*(1-$N$5))</f>
        <v>24071.555086927194</v>
      </c>
      <c r="D5" s="61">
        <f t="shared" si="2"/>
        <v>24170.398923430068</v>
      </c>
      <c r="E5" s="61">
        <f t="shared" si="2"/>
        <v>24269.648637491715</v>
      </c>
      <c r="F5" s="61">
        <f t="shared" si="2"/>
        <v>24369.305895747093</v>
      </c>
      <c r="G5" s="61">
        <f t="shared" si="2"/>
        <v>24469.372371674766</v>
      </c>
      <c r="H5" s="61">
        <f t="shared" si="2"/>
        <v>24569.849745625037</v>
      </c>
      <c r="I5" s="61">
        <f t="shared" si="2"/>
        <v>24670.739704848136</v>
      </c>
      <c r="J5" s="61">
        <f t="shared" si="2"/>
        <v>24772.043943522574</v>
      </c>
      <c r="K5" s="61">
        <f t="shared" si="2"/>
        <v>24873.76416278358</v>
      </c>
      <c r="L5" s="84" t="s">
        <v>271</v>
      </c>
      <c r="N5" s="68">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15815.666666666668</v>
      </c>
      <c r="C8" s="65">
        <f>B8</f>
        <v>15815.666666666668</v>
      </c>
      <c r="D8" s="65">
        <f t="shared" ref="D8:K8" si="3">C8</f>
        <v>15815.666666666668</v>
      </c>
      <c r="E8" s="65">
        <f t="shared" si="3"/>
        <v>15815.666666666668</v>
      </c>
      <c r="F8" s="65">
        <f t="shared" si="3"/>
        <v>15815.666666666668</v>
      </c>
      <c r="G8" s="65">
        <f t="shared" si="3"/>
        <v>15815.666666666668</v>
      </c>
      <c r="H8" s="65">
        <f t="shared" si="3"/>
        <v>15815.666666666668</v>
      </c>
      <c r="I8" s="65">
        <f t="shared" si="3"/>
        <v>15815.666666666668</v>
      </c>
      <c r="J8" s="65">
        <f t="shared" si="3"/>
        <v>15815.666666666668</v>
      </c>
      <c r="K8" s="65">
        <f t="shared" si="3"/>
        <v>15815.666666666668</v>
      </c>
      <c r="L8" s="84" t="s">
        <v>236</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 t="shared" ref="B10:K10" si="4">B5*B9</f>
        <v>7191.9346404491343</v>
      </c>
      <c r="C10" s="61">
        <f t="shared" si="4"/>
        <v>7462.1820769474298</v>
      </c>
      <c r="D10" s="61">
        <f t="shared" si="4"/>
        <v>7976.2316447319226</v>
      </c>
      <c r="E10" s="61">
        <f t="shared" si="4"/>
        <v>8494.3770231221006</v>
      </c>
      <c r="F10" s="61">
        <f t="shared" si="4"/>
        <v>9016.6431814264251</v>
      </c>
      <c r="G10" s="61">
        <f t="shared" si="4"/>
        <v>9298.3615012364116</v>
      </c>
      <c r="H10" s="61">
        <f t="shared" si="4"/>
        <v>9827.9398982500152</v>
      </c>
      <c r="I10" s="61">
        <f t="shared" si="4"/>
        <v>10361.710676036217</v>
      </c>
      <c r="J10" s="61">
        <f t="shared" si="4"/>
        <v>10651.978895714707</v>
      </c>
      <c r="K10" s="61">
        <f t="shared" si="4"/>
        <v>11193.193873252611</v>
      </c>
      <c r="L10" s="84" t="s">
        <v>376</v>
      </c>
      <c r="N10" s="122"/>
      <c r="O10" s="60"/>
    </row>
    <row r="11" spans="1:18" s="58" customFormat="1" ht="28.8" x14ac:dyDescent="0.3">
      <c r="A11" s="99" t="s">
        <v>172</v>
      </c>
      <c r="B11" s="61">
        <f>MAX(B3-SUM(B6:B8,B10), B3*$N$6)</f>
        <v>2769.9422070388027</v>
      </c>
      <c r="C11" s="61">
        <f t="shared" ref="C11:K11" si="5">MAX(C3-SUM(C6:C8,C10), C3*$N$6)</f>
        <v>2605.5438229742867</v>
      </c>
      <c r="D11" s="61">
        <f t="shared" si="5"/>
        <v>2197.7779503541751</v>
      </c>
      <c r="E11" s="61">
        <f t="shared" si="5"/>
        <v>1786.3526946109268</v>
      </c>
      <c r="F11" s="61">
        <f t="shared" si="5"/>
        <v>1371.2448785166853</v>
      </c>
      <c r="G11" s="61">
        <f t="shared" si="5"/>
        <v>1315.5576543911166</v>
      </c>
      <c r="H11" s="61">
        <f t="shared" si="5"/>
        <v>1320.9596637432817</v>
      </c>
      <c r="I11" s="61">
        <f t="shared" si="5"/>
        <v>1326.3838550993623</v>
      </c>
      <c r="J11" s="61">
        <f t="shared" si="5"/>
        <v>1331.8303195442247</v>
      </c>
      <c r="K11" s="61">
        <f t="shared" si="5"/>
        <v>1337.2991485367518</v>
      </c>
      <c r="L11" s="84" t="s">
        <v>203</v>
      </c>
    </row>
    <row r="12" spans="1:18" s="58" customFormat="1" ht="43.8" x14ac:dyDescent="0.35">
      <c r="A12" s="99" t="s">
        <v>194</v>
      </c>
      <c r="B12" s="61">
        <f t="shared" ref="B12:K12" si="6">B6*$N$3+B11*$N$2</f>
        <v>1206.0328369446947</v>
      </c>
      <c r="C12" s="61">
        <f t="shared" si="6"/>
        <v>1134.4537805230045</v>
      </c>
      <c r="D12" s="61">
        <f t="shared" si="6"/>
        <v>956.91251958420787</v>
      </c>
      <c r="E12" s="61">
        <f t="shared" si="6"/>
        <v>777.77796323359757</v>
      </c>
      <c r="F12" s="61">
        <f t="shared" si="6"/>
        <v>597.04002010616477</v>
      </c>
      <c r="G12" s="61">
        <f t="shared" si="6"/>
        <v>572.79380272189212</v>
      </c>
      <c r="H12" s="61">
        <f t="shared" si="6"/>
        <v>575.14583759382481</v>
      </c>
      <c r="I12" s="61">
        <f t="shared" si="6"/>
        <v>577.50753051026243</v>
      </c>
      <c r="J12" s="61">
        <f t="shared" si="6"/>
        <v>579.87892112955547</v>
      </c>
      <c r="K12" s="61">
        <f t="shared" si="6"/>
        <v>582.26004927290171</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7">B12/B3</f>
        <v>4.6786181789682746E-2</v>
      </c>
      <c r="C14" s="80">
        <f t="shared" si="7"/>
        <v>4.3829408281950484E-2</v>
      </c>
      <c r="D14" s="80">
        <f t="shared" si="7"/>
        <v>3.681894725993301E-2</v>
      </c>
      <c r="E14" s="80">
        <f t="shared" si="7"/>
        <v>2.9804036993343247E-2</v>
      </c>
      <c r="F14" s="80">
        <f t="shared" si="7"/>
        <v>2.2784695677181121E-2</v>
      </c>
      <c r="G14" s="80">
        <f t="shared" si="7"/>
        <v>2.1769999999999998E-2</v>
      </c>
      <c r="H14" s="80">
        <f t="shared" si="7"/>
        <v>2.1769999999999998E-2</v>
      </c>
      <c r="I14" s="80">
        <f t="shared" si="7"/>
        <v>2.1770000000000001E-2</v>
      </c>
      <c r="J14" s="80">
        <f t="shared" si="7"/>
        <v>2.1770000000000005E-2</v>
      </c>
      <c r="K14" s="80">
        <f t="shared" si="7"/>
        <v>2.1770000000000001E-2</v>
      </c>
      <c r="L14" s="84" t="s">
        <v>206</v>
      </c>
    </row>
    <row r="15" spans="1:18" s="58" customFormat="1" ht="30.6" thickBot="1" x14ac:dyDescent="0.4">
      <c r="A15" s="99" t="s">
        <v>196</v>
      </c>
      <c r="B15" s="79">
        <f>$K$13*B14</f>
        <v>0</v>
      </c>
      <c r="C15" s="79">
        <f t="shared" ref="C15:K15" si="8">$K$13*C14</f>
        <v>0</v>
      </c>
      <c r="D15" s="79">
        <f t="shared" si="8"/>
        <v>0</v>
      </c>
      <c r="E15" s="79">
        <f t="shared" si="8"/>
        <v>0</v>
      </c>
      <c r="F15" s="79">
        <f t="shared" si="8"/>
        <v>0</v>
      </c>
      <c r="G15" s="79">
        <f t="shared" si="8"/>
        <v>0</v>
      </c>
      <c r="H15" s="79">
        <f t="shared" si="8"/>
        <v>0</v>
      </c>
      <c r="I15" s="79">
        <f t="shared" si="8"/>
        <v>0</v>
      </c>
      <c r="J15" s="79">
        <f t="shared" si="8"/>
        <v>0</v>
      </c>
      <c r="K15" s="79">
        <f t="shared" si="8"/>
        <v>0</v>
      </c>
      <c r="L15" s="84" t="s">
        <v>250</v>
      </c>
    </row>
    <row r="16" spans="1:18" ht="29.4" thickBot="1" x14ac:dyDescent="0.35">
      <c r="A16" s="179" t="s">
        <v>197</v>
      </c>
      <c r="B16" s="81">
        <f t="shared" ref="B16:K16" si="9">B12-B15</f>
        <v>1206.0328369446947</v>
      </c>
      <c r="C16" s="81">
        <f t="shared" si="9"/>
        <v>1134.4537805230045</v>
      </c>
      <c r="D16" s="81">
        <f t="shared" si="9"/>
        <v>956.91251958420787</v>
      </c>
      <c r="E16" s="81">
        <f t="shared" si="9"/>
        <v>777.77796323359757</v>
      </c>
      <c r="F16" s="81">
        <f t="shared" si="9"/>
        <v>597.04002010616477</v>
      </c>
      <c r="G16" s="81">
        <f t="shared" si="9"/>
        <v>572.79380272189212</v>
      </c>
      <c r="H16" s="81">
        <f t="shared" si="9"/>
        <v>575.14583759382481</v>
      </c>
      <c r="I16" s="81">
        <f t="shared" si="9"/>
        <v>577.50753051026243</v>
      </c>
      <c r="J16" s="81">
        <f t="shared" si="9"/>
        <v>579.87892112955547</v>
      </c>
      <c r="K16" s="81">
        <f t="shared" si="9"/>
        <v>582.26004927290171</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28.8" x14ac:dyDescent="0.3">
      <c r="A1" s="97" t="s">
        <v>183</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 t="shared" ref="B3:K3" si="0">B4/(1-$N$5)</f>
        <v>143010.75268817204</v>
      </c>
      <c r="C3" s="61">
        <f t="shared" si="0"/>
        <v>144086.02150537635</v>
      </c>
      <c r="D3" s="61">
        <f t="shared" si="0"/>
        <v>144086.02150537635</v>
      </c>
      <c r="E3" s="61">
        <f t="shared" si="0"/>
        <v>145161.29032258067</v>
      </c>
      <c r="F3" s="61">
        <f t="shared" si="0"/>
        <v>145161.29032258067</v>
      </c>
      <c r="G3" s="61">
        <f t="shared" si="0"/>
        <v>145161.29032258067</v>
      </c>
      <c r="H3" s="61">
        <f t="shared" si="0"/>
        <v>145757.35895193912</v>
      </c>
      <c r="I3" s="61">
        <f t="shared" si="0"/>
        <v>146355.87518843936</v>
      </c>
      <c r="J3" s="61">
        <f t="shared" si="0"/>
        <v>146956.84908256959</v>
      </c>
      <c r="K3" s="61">
        <f t="shared" si="0"/>
        <v>147560.29072608781</v>
      </c>
      <c r="L3" s="84" t="s">
        <v>276</v>
      </c>
      <c r="N3" s="62">
        <v>0.91839999999999999</v>
      </c>
      <c r="O3" s="8" t="s">
        <v>199</v>
      </c>
    </row>
    <row r="4" spans="1:18" s="58" customFormat="1" ht="57.6" x14ac:dyDescent="0.3">
      <c r="A4" s="99" t="s">
        <v>167</v>
      </c>
      <c r="B4" s="61">
        <f>SUMIFS('Form 1.1c'!J:J, 'Form 1.1c'!$B:$B, "Bear Valley Electric Service")*1000</f>
        <v>133000</v>
      </c>
      <c r="C4" s="61">
        <f>SUMIFS('Form 1.1c'!K:K, 'Form 1.1c'!$B:$B, "Bear Valley Electric Service")*1000</f>
        <v>134000</v>
      </c>
      <c r="D4" s="61">
        <f>SUMIFS('Form 1.1c'!L:L, 'Form 1.1c'!$B:$B, "Bear Valley Electric Service")*1000</f>
        <v>134000</v>
      </c>
      <c r="E4" s="61">
        <f>SUMIFS('Form 1.1c'!M:M, 'Form 1.1c'!$B:$B, "Bear Valley Electric Service")*1000</f>
        <v>135000</v>
      </c>
      <c r="F4" s="61">
        <f>SUMIFS('Form 1.1c'!N:N, 'Form 1.1c'!$B:$B, "Bear Valley Electric Service")*1000</f>
        <v>135000</v>
      </c>
      <c r="G4" s="61">
        <f>SUMIFS('Form 1.1c'!O:O, 'Form 1.1c'!$B:$B, "Bear Valley Electric Service")*1000</f>
        <v>135000</v>
      </c>
      <c r="H4" s="65">
        <f>AVERAGE(E4:G4)*(1+$N$8)</f>
        <v>135554.34382530337</v>
      </c>
      <c r="I4" s="61">
        <f>H4*(1+$N$8)</f>
        <v>136110.96392524859</v>
      </c>
      <c r="J4" s="61">
        <f>I4*(1+$N$8)</f>
        <v>136669.86964678971</v>
      </c>
      <c r="K4" s="61">
        <f>J4*(1+$N$8)</f>
        <v>137231.07037526165</v>
      </c>
      <c r="L4" s="84" t="s">
        <v>211</v>
      </c>
      <c r="N4" s="68">
        <f>0.15</f>
        <v>0.15</v>
      </c>
      <c r="O4" s="84" t="s">
        <v>165</v>
      </c>
    </row>
    <row r="5" spans="1:18" s="58" customFormat="1" ht="28.8" x14ac:dyDescent="0.3">
      <c r="A5" s="99" t="s">
        <v>191</v>
      </c>
      <c r="B5" s="61">
        <f>IF(0&lt;(B3-B4)/B3,B4,B3*(1-$N$5))</f>
        <v>133000</v>
      </c>
      <c r="C5" s="61">
        <f t="shared" ref="C5:K5" si="1">IF(0&lt;(C3-C4)/C3,C4,C3*(1-$N$5))</f>
        <v>134000</v>
      </c>
      <c r="D5" s="61">
        <f t="shared" si="1"/>
        <v>134000</v>
      </c>
      <c r="E5" s="61">
        <f t="shared" si="1"/>
        <v>135000</v>
      </c>
      <c r="F5" s="61">
        <f t="shared" si="1"/>
        <v>135000</v>
      </c>
      <c r="G5" s="61">
        <f t="shared" si="1"/>
        <v>135000</v>
      </c>
      <c r="H5" s="61">
        <f t="shared" si="1"/>
        <v>135554.34382530337</v>
      </c>
      <c r="I5" s="61">
        <f t="shared" si="1"/>
        <v>136110.96392524859</v>
      </c>
      <c r="J5" s="61">
        <f t="shared" si="1"/>
        <v>136669.86964678971</v>
      </c>
      <c r="K5" s="61">
        <f t="shared" si="1"/>
        <v>137231.07037526165</v>
      </c>
      <c r="L5" s="84" t="s">
        <v>271</v>
      </c>
      <c r="N5" s="68">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03" t="s">
        <v>239</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03" t="s">
        <v>239</v>
      </c>
      <c r="O7" s="101"/>
    </row>
    <row r="8" spans="1:18" s="58" customFormat="1" x14ac:dyDescent="0.3">
      <c r="A8" s="99" t="s">
        <v>170</v>
      </c>
      <c r="B8" s="61">
        <v>0</v>
      </c>
      <c r="C8" s="61">
        <v>0</v>
      </c>
      <c r="D8" s="61">
        <v>0</v>
      </c>
      <c r="E8" s="61">
        <v>0</v>
      </c>
      <c r="F8" s="61">
        <v>0</v>
      </c>
      <c r="G8" s="61">
        <v>0</v>
      </c>
      <c r="H8" s="61">
        <v>0</v>
      </c>
      <c r="I8" s="61">
        <v>0</v>
      </c>
      <c r="J8" s="61">
        <v>0</v>
      </c>
      <c r="K8" s="61">
        <v>0</v>
      </c>
      <c r="L8" s="103" t="s">
        <v>239</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 t="shared" ref="B10:K10" si="2">B5*B9</f>
        <v>39900</v>
      </c>
      <c r="C10" s="61">
        <f t="shared" si="2"/>
        <v>41540</v>
      </c>
      <c r="D10" s="61">
        <f t="shared" si="2"/>
        <v>44220</v>
      </c>
      <c r="E10" s="61">
        <f t="shared" si="2"/>
        <v>47250</v>
      </c>
      <c r="F10" s="61">
        <f t="shared" si="2"/>
        <v>49950</v>
      </c>
      <c r="G10" s="61">
        <f t="shared" si="2"/>
        <v>51300</v>
      </c>
      <c r="H10" s="61">
        <f t="shared" si="2"/>
        <v>54221.737530121347</v>
      </c>
      <c r="I10" s="61">
        <f t="shared" si="2"/>
        <v>57166.604848604409</v>
      </c>
      <c r="J10" s="61">
        <f t="shared" si="2"/>
        <v>58768.043948119572</v>
      </c>
      <c r="K10" s="61">
        <f t="shared" si="2"/>
        <v>61753.981668867746</v>
      </c>
      <c r="L10" s="84" t="s">
        <v>376</v>
      </c>
      <c r="N10" s="122"/>
      <c r="O10" s="60"/>
    </row>
    <row r="11" spans="1:18" s="58" customFormat="1" ht="28.8" x14ac:dyDescent="0.3">
      <c r="A11" s="99" t="s">
        <v>172</v>
      </c>
      <c r="B11" s="61">
        <f>MAX(B3-SUM(B6:B8,B10), B3*$N$6)</f>
        <v>103110.75268817204</v>
      </c>
      <c r="C11" s="61">
        <f t="shared" ref="C11:K11" si="3">MAX(C3-SUM(C6:C8,C10), C3*$N$6)</f>
        <v>102546.02150537635</v>
      </c>
      <c r="D11" s="61">
        <f t="shared" si="3"/>
        <v>99866.021505376353</v>
      </c>
      <c r="E11" s="61">
        <f t="shared" si="3"/>
        <v>97911.290322580666</v>
      </c>
      <c r="F11" s="61">
        <f t="shared" si="3"/>
        <v>95211.290322580666</v>
      </c>
      <c r="G11" s="61">
        <f t="shared" si="3"/>
        <v>93861.290322580666</v>
      </c>
      <c r="H11" s="61">
        <f t="shared" si="3"/>
        <v>91535.621421817777</v>
      </c>
      <c r="I11" s="61">
        <f t="shared" si="3"/>
        <v>89189.27033983494</v>
      </c>
      <c r="J11" s="61">
        <f t="shared" si="3"/>
        <v>88188.805134450027</v>
      </c>
      <c r="K11" s="61">
        <f t="shared" si="3"/>
        <v>85806.30905722006</v>
      </c>
      <c r="L11" s="84" t="s">
        <v>203</v>
      </c>
    </row>
    <row r="12" spans="1:18" s="58" customFormat="1" ht="43.8" x14ac:dyDescent="0.35">
      <c r="A12" s="99" t="s">
        <v>194</v>
      </c>
      <c r="B12" s="61">
        <f t="shared" ref="B12:K12" si="4">B6*$N$3+B11*$N$2</f>
        <v>44894.421720430109</v>
      </c>
      <c r="C12" s="61">
        <f t="shared" si="4"/>
        <v>44648.537763440865</v>
      </c>
      <c r="D12" s="61">
        <f t="shared" si="4"/>
        <v>43481.665763440862</v>
      </c>
      <c r="E12" s="61">
        <f t="shared" si="4"/>
        <v>42630.575806451619</v>
      </c>
      <c r="F12" s="61">
        <f t="shared" si="4"/>
        <v>41454.995806451625</v>
      </c>
      <c r="G12" s="61">
        <f t="shared" si="4"/>
        <v>40867.205806451624</v>
      </c>
      <c r="H12" s="61">
        <f t="shared" si="4"/>
        <v>39854.609567059459</v>
      </c>
      <c r="I12" s="61">
        <f t="shared" si="4"/>
        <v>38833.008305964133</v>
      </c>
      <c r="J12" s="61">
        <f t="shared" si="4"/>
        <v>38397.405755539541</v>
      </c>
      <c r="K12" s="61">
        <f t="shared" si="4"/>
        <v>37360.066963513615</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5">B12/B3</f>
        <v>0.31392340000000002</v>
      </c>
      <c r="C14" s="80">
        <f t="shared" si="5"/>
        <v>0.30987418</v>
      </c>
      <c r="D14" s="80">
        <f t="shared" si="5"/>
        <v>0.30177574000000001</v>
      </c>
      <c r="E14" s="80">
        <f t="shared" si="5"/>
        <v>0.29367730000000003</v>
      </c>
      <c r="F14" s="80">
        <f t="shared" si="5"/>
        <v>0.28557886000000005</v>
      </c>
      <c r="G14" s="80">
        <f t="shared" si="5"/>
        <v>0.28152964000000003</v>
      </c>
      <c r="H14" s="80">
        <f t="shared" si="5"/>
        <v>0.27343119999999999</v>
      </c>
      <c r="I14" s="80">
        <f t="shared" si="5"/>
        <v>0.26533276</v>
      </c>
      <c r="J14" s="80">
        <f t="shared" si="5"/>
        <v>0.26128354000000004</v>
      </c>
      <c r="K14" s="80">
        <f t="shared" si="5"/>
        <v>0.2531851</v>
      </c>
      <c r="L14" s="84" t="s">
        <v>206</v>
      </c>
    </row>
    <row r="15" spans="1:18" s="58" customFormat="1" ht="30.6" thickBot="1" x14ac:dyDescent="0.4">
      <c r="A15" s="99" t="s">
        <v>196</v>
      </c>
      <c r="B15" s="79">
        <f>$K$13*B14</f>
        <v>0</v>
      </c>
      <c r="C15" s="79">
        <f t="shared" ref="C15:K15" si="6">$K$13*C14</f>
        <v>0</v>
      </c>
      <c r="D15" s="79">
        <f t="shared" si="6"/>
        <v>0</v>
      </c>
      <c r="E15" s="79">
        <f t="shared" si="6"/>
        <v>0</v>
      </c>
      <c r="F15" s="79">
        <f t="shared" si="6"/>
        <v>0</v>
      </c>
      <c r="G15" s="79">
        <f t="shared" si="6"/>
        <v>0</v>
      </c>
      <c r="H15" s="79">
        <f t="shared" si="6"/>
        <v>0</v>
      </c>
      <c r="I15" s="79">
        <f t="shared" si="6"/>
        <v>0</v>
      </c>
      <c r="J15" s="79">
        <f t="shared" si="6"/>
        <v>0</v>
      </c>
      <c r="K15" s="79">
        <f t="shared" si="6"/>
        <v>0</v>
      </c>
      <c r="L15" s="84" t="s">
        <v>250</v>
      </c>
    </row>
    <row r="16" spans="1:18" ht="29.4" thickBot="1" x14ac:dyDescent="0.35">
      <c r="A16" s="179" t="s">
        <v>197</v>
      </c>
      <c r="B16" s="81">
        <f t="shared" ref="B16:K16" si="7">B12-B15</f>
        <v>44894.421720430109</v>
      </c>
      <c r="C16" s="81">
        <f t="shared" si="7"/>
        <v>44648.537763440865</v>
      </c>
      <c r="D16" s="81">
        <f t="shared" si="7"/>
        <v>43481.665763440862</v>
      </c>
      <c r="E16" s="81">
        <f t="shared" si="7"/>
        <v>42630.575806451619</v>
      </c>
      <c r="F16" s="81">
        <f t="shared" si="7"/>
        <v>41454.995806451625</v>
      </c>
      <c r="G16" s="81">
        <f t="shared" si="7"/>
        <v>40867.205806451624</v>
      </c>
      <c r="H16" s="81">
        <f t="shared" si="7"/>
        <v>39854.609567059459</v>
      </c>
      <c r="I16" s="81">
        <f t="shared" si="7"/>
        <v>38833.008305964133</v>
      </c>
      <c r="J16" s="81">
        <f t="shared" si="7"/>
        <v>38397.405755539541</v>
      </c>
      <c r="K16" s="81">
        <f t="shared" si="7"/>
        <v>37360.066963513615</v>
      </c>
      <c r="L16" s="88" t="s">
        <v>265</v>
      </c>
      <c r="N16" s="58"/>
      <c r="O16" s="58"/>
      <c r="P16" s="58"/>
      <c r="Q16" s="58"/>
      <c r="R16" s="58"/>
    </row>
    <row r="17" spans="1:18" x14ac:dyDescent="0.3">
      <c r="A17" s="82"/>
      <c r="B17" s="82"/>
      <c r="C17" s="82"/>
      <c r="D17" s="82"/>
      <c r="E17" s="82"/>
      <c r="F17" s="82"/>
      <c r="G17" s="82"/>
      <c r="H17" s="82"/>
      <c r="I17" s="82"/>
      <c r="J17" s="82"/>
      <c r="K17" s="82"/>
      <c r="N17" s="58"/>
      <c r="O17" s="58"/>
      <c r="P17" s="58"/>
      <c r="Q17" s="58"/>
      <c r="R17" s="58"/>
    </row>
    <row r="18" spans="1:18" x14ac:dyDescent="0.3">
      <c r="A18" s="82"/>
      <c r="B18" s="82"/>
      <c r="C18" s="82"/>
      <c r="D18" s="82"/>
      <c r="E18" s="82"/>
      <c r="F18" s="82"/>
      <c r="G18" s="82"/>
      <c r="H18" s="82"/>
      <c r="I18" s="82"/>
      <c r="J18" s="82"/>
      <c r="K18" s="82"/>
      <c r="P18" s="58"/>
      <c r="Q18" s="58"/>
      <c r="R18" s="58"/>
    </row>
  </sheetData>
  <mergeCells count="3">
    <mergeCell ref="B1:L1"/>
    <mergeCell ref="N1:O1"/>
    <mergeCell ref="B13:J1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12" max="12" width="49.33203125" customWidth="1"/>
    <col min="15" max="15" width="36.5546875" customWidth="1"/>
  </cols>
  <sheetData>
    <row r="1" spans="1:15" s="58" customFormat="1" x14ac:dyDescent="0.3">
      <c r="A1" s="97" t="s">
        <v>17</v>
      </c>
      <c r="B1" s="199" t="s">
        <v>173</v>
      </c>
      <c r="C1" s="200"/>
      <c r="D1" s="200"/>
      <c r="E1" s="200"/>
      <c r="F1" s="200"/>
      <c r="G1" s="200"/>
      <c r="H1" s="200"/>
      <c r="I1" s="200"/>
      <c r="J1" s="200"/>
      <c r="K1" s="200"/>
      <c r="L1" s="201"/>
      <c r="N1" s="202" t="s">
        <v>193</v>
      </c>
      <c r="O1" s="203"/>
    </row>
    <row r="2" spans="1:15" s="58" customFormat="1" ht="30" x14ac:dyDescent="0.35">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84" t="s">
        <v>369</v>
      </c>
    </row>
    <row r="3" spans="1:15" s="58" customFormat="1" ht="72.599999999999994" x14ac:dyDescent="0.35">
      <c r="A3" s="99" t="s">
        <v>166</v>
      </c>
      <c r="B3" s="61">
        <v>36906.363593050191</v>
      </c>
      <c r="C3" s="61">
        <v>36983.533529868597</v>
      </c>
      <c r="D3" s="61">
        <v>37068.756828394195</v>
      </c>
      <c r="E3" s="61">
        <v>37163.631999999998</v>
      </c>
      <c r="F3" s="61">
        <v>37263</v>
      </c>
      <c r="G3" s="61">
        <v>37362.368000000002</v>
      </c>
      <c r="H3" s="65">
        <f>AVERAGE(E3:G3)*(1+$N$8)</f>
        <v>37414.814074550086</v>
      </c>
      <c r="I3" s="65">
        <f t="shared" ref="I3:K4" si="0">H3*(1+$N$8)</f>
        <v>37567.246658431992</v>
      </c>
      <c r="J3" s="65">
        <f t="shared" si="0"/>
        <v>37720.300271529297</v>
      </c>
      <c r="K3" s="65">
        <f t="shared" si="0"/>
        <v>37873.977443991891</v>
      </c>
      <c r="L3" s="84" t="s">
        <v>254</v>
      </c>
      <c r="N3" s="62">
        <v>0.91839999999999999</v>
      </c>
      <c r="O3" s="8" t="s">
        <v>199</v>
      </c>
    </row>
    <row r="4" spans="1:15" s="58" customFormat="1" ht="57.6" x14ac:dyDescent="0.3">
      <c r="A4" s="99" t="s">
        <v>167</v>
      </c>
      <c r="B4" s="61">
        <f>SUMIFS('Form 1.1c'!J:J, 'Form 1.1c'!$B:$B, "City of Gridley")*1000</f>
        <v>36000</v>
      </c>
      <c r="C4" s="61">
        <f>SUMIFS('Form 1.1c'!K:K, 'Form 1.1c'!$B:$B, "City of Gridley")*1000</f>
        <v>37000</v>
      </c>
      <c r="D4" s="61">
        <f>SUMIFS('Form 1.1c'!L:L, 'Form 1.1c'!$B:$B, "City of Gridley")*1000</f>
        <v>37000</v>
      </c>
      <c r="E4" s="61">
        <f>SUMIFS('Form 1.1c'!M:M, 'Form 1.1c'!$B:$B, "City of Gridley")*1000</f>
        <v>37000</v>
      </c>
      <c r="F4" s="61">
        <f>SUMIFS('Form 1.1c'!N:N, 'Form 1.1c'!$B:$B, "City of Gridley")*1000</f>
        <v>37000</v>
      </c>
      <c r="G4" s="61">
        <f>SUMIFS('Form 1.1c'!O:O, 'Form 1.1c'!$B:$B, "City of Gridley")*1000</f>
        <v>37000</v>
      </c>
      <c r="H4" s="65">
        <f>AVERAGE(E4:G4)*(1+$N$8)</f>
        <v>37150.742579994992</v>
      </c>
      <c r="I4" s="61">
        <f t="shared" si="0"/>
        <v>37302.099303920346</v>
      </c>
      <c r="J4" s="61">
        <f t="shared" si="0"/>
        <v>37454.072673874463</v>
      </c>
      <c r="K4" s="61">
        <f t="shared" si="0"/>
        <v>37606.66520214959</v>
      </c>
      <c r="L4" s="84" t="s">
        <v>211</v>
      </c>
      <c r="N4" s="68">
        <f>0.15</f>
        <v>0.15</v>
      </c>
      <c r="O4" s="59" t="s">
        <v>165</v>
      </c>
    </row>
    <row r="5" spans="1:15" s="58" customFormat="1" ht="28.8" x14ac:dyDescent="0.3">
      <c r="A5" s="99" t="s">
        <v>191</v>
      </c>
      <c r="B5" s="61">
        <f>IF(0&lt;($C$3-$C$4)/$C$3,B4,B3*(1-$N$5))</f>
        <v>34322.918141536677</v>
      </c>
      <c r="C5" s="61">
        <f>IF(0&lt;($C$3-$C$4)/$C$3,C4,C3*(1-$N$5))</f>
        <v>34394.68618277779</v>
      </c>
      <c r="D5" s="61">
        <f t="shared" ref="D5:K5" si="1">IF(0&lt;($C$3-$C$4)/$C$3,D4,D3*(1-$N$5))</f>
        <v>34473.943850406598</v>
      </c>
      <c r="E5" s="61">
        <f t="shared" si="1"/>
        <v>34562.177759999999</v>
      </c>
      <c r="F5" s="61">
        <f t="shared" si="1"/>
        <v>34654.589999999997</v>
      </c>
      <c r="G5" s="61">
        <f t="shared" si="1"/>
        <v>34747.002240000002</v>
      </c>
      <c r="H5" s="61">
        <f t="shared" si="1"/>
        <v>34795.777089331576</v>
      </c>
      <c r="I5" s="61">
        <f t="shared" si="1"/>
        <v>34937.53939234175</v>
      </c>
      <c r="J5" s="61">
        <f t="shared" si="1"/>
        <v>35079.879252522245</v>
      </c>
      <c r="K5" s="61">
        <f t="shared" si="1"/>
        <v>35222.799022912455</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11641</v>
      </c>
      <c r="C8" s="61">
        <v>11640</v>
      </c>
      <c r="D8" s="61">
        <v>11640</v>
      </c>
      <c r="E8" s="61">
        <v>11641</v>
      </c>
      <c r="F8" s="61">
        <v>11640</v>
      </c>
      <c r="G8" s="61">
        <v>11640</v>
      </c>
      <c r="H8" s="65">
        <f>AVERAGE(E8:G8)</f>
        <v>11640.333333333334</v>
      </c>
      <c r="I8" s="65">
        <f t="shared" ref="I8:K8" si="2">H8</f>
        <v>11640.333333333334</v>
      </c>
      <c r="J8" s="65">
        <f t="shared" si="2"/>
        <v>11640.333333333334</v>
      </c>
      <c r="K8" s="65">
        <f t="shared" si="2"/>
        <v>11640.333333333334</v>
      </c>
      <c r="L8" s="84" t="s">
        <v>244</v>
      </c>
      <c r="N8" s="64">
        <v>4.0741237836483535E-3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 t="shared" ref="B10:K10" si="3">B5*B9</f>
        <v>10296.875442461003</v>
      </c>
      <c r="C10" s="61">
        <f t="shared" si="3"/>
        <v>10662.352716661115</v>
      </c>
      <c r="D10" s="61">
        <f t="shared" si="3"/>
        <v>11376.401470634179</v>
      </c>
      <c r="E10" s="61">
        <f t="shared" si="3"/>
        <v>12096.762215999999</v>
      </c>
      <c r="F10" s="61">
        <f t="shared" si="3"/>
        <v>12822.198299999998</v>
      </c>
      <c r="G10" s="61">
        <f t="shared" si="3"/>
        <v>13203.860851200001</v>
      </c>
      <c r="H10" s="61">
        <f t="shared" si="3"/>
        <v>13918.310835732631</v>
      </c>
      <c r="I10" s="61">
        <f t="shared" si="3"/>
        <v>14673.766544783535</v>
      </c>
      <c r="J10" s="61">
        <f t="shared" si="3"/>
        <v>15084.348078584566</v>
      </c>
      <c r="K10" s="61">
        <f t="shared" si="3"/>
        <v>15850.259560310606</v>
      </c>
      <c r="L10" s="84" t="s">
        <v>376</v>
      </c>
      <c r="N10" s="122"/>
      <c r="O10" s="60"/>
    </row>
    <row r="11" spans="1:15" s="58" customFormat="1" ht="28.8" x14ac:dyDescent="0.3">
      <c r="A11" s="99" t="s">
        <v>172</v>
      </c>
      <c r="B11" s="61">
        <f t="shared" ref="B11:K11" si="4">MAX(B3-SUM(B6:B8,B10), B3*$N$6)</f>
        <v>14968.48815058919</v>
      </c>
      <c r="C11" s="61">
        <f t="shared" si="4"/>
        <v>14681.18081320748</v>
      </c>
      <c r="D11" s="61">
        <f t="shared" si="4"/>
        <v>14052.355357760018</v>
      </c>
      <c r="E11" s="61">
        <f t="shared" si="4"/>
        <v>13425.869783999999</v>
      </c>
      <c r="F11" s="61">
        <f t="shared" si="4"/>
        <v>12800.801700000004</v>
      </c>
      <c r="G11" s="61">
        <f t="shared" si="4"/>
        <v>12518.507148800003</v>
      </c>
      <c r="H11" s="61">
        <f t="shared" si="4"/>
        <v>11856.169905484123</v>
      </c>
      <c r="I11" s="61">
        <f t="shared" si="4"/>
        <v>11253.146780315124</v>
      </c>
      <c r="J11" s="61">
        <f t="shared" si="4"/>
        <v>10995.618859611397</v>
      </c>
      <c r="K11" s="61">
        <f t="shared" si="4"/>
        <v>10383.384550347953</v>
      </c>
      <c r="L11" s="84" t="s">
        <v>203</v>
      </c>
    </row>
    <row r="12" spans="1:15" s="58" customFormat="1" ht="43.8" x14ac:dyDescent="0.35">
      <c r="A12" s="99" t="s">
        <v>194</v>
      </c>
      <c r="B12" s="61">
        <f t="shared" ref="B12:K12" si="5">B6*$N$3+B11*$N$2</f>
        <v>6517.279740766533</v>
      </c>
      <c r="C12" s="61">
        <f t="shared" si="5"/>
        <v>6392.1861260705373</v>
      </c>
      <c r="D12" s="61">
        <f t="shared" si="5"/>
        <v>6118.395522768712</v>
      </c>
      <c r="E12" s="61">
        <f t="shared" si="5"/>
        <v>5845.6237039535999</v>
      </c>
      <c r="F12" s="61">
        <f t="shared" si="5"/>
        <v>5573.4690601800021</v>
      </c>
      <c r="G12" s="61">
        <f t="shared" si="5"/>
        <v>5450.5580125875213</v>
      </c>
      <c r="H12" s="61">
        <f t="shared" si="5"/>
        <v>5162.1763768477877</v>
      </c>
      <c r="I12" s="61">
        <f t="shared" si="5"/>
        <v>4899.6201081492054</v>
      </c>
      <c r="J12" s="61">
        <f t="shared" si="5"/>
        <v>4787.4924514748027</v>
      </c>
      <c r="K12" s="61">
        <f t="shared" si="5"/>
        <v>4520.9256332214991</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6">B12/B3</f>
        <v>0.17658959339992514</v>
      </c>
      <c r="C14" s="80">
        <f t="shared" si="6"/>
        <v>0.17283870728328563</v>
      </c>
      <c r="D14" s="80">
        <f t="shared" si="6"/>
        <v>0.16505532006625317</v>
      </c>
      <c r="E14" s="80">
        <f t="shared" si="6"/>
        <v>0.15729419836989023</v>
      </c>
      <c r="F14" s="80">
        <f t="shared" si="6"/>
        <v>0.14957113115369139</v>
      </c>
      <c r="G14" s="80">
        <f t="shared" si="6"/>
        <v>0.14588363383679323</v>
      </c>
      <c r="H14" s="80">
        <f t="shared" si="6"/>
        <v>0.13797145608052477</v>
      </c>
      <c r="I14" s="80">
        <f t="shared" si="6"/>
        <v>0.13042265654167878</v>
      </c>
      <c r="J14" s="80">
        <f t="shared" si="6"/>
        <v>0.12692084678573803</v>
      </c>
      <c r="K14" s="80">
        <f t="shared" si="6"/>
        <v>0.11936759586201508</v>
      </c>
      <c r="L14" s="84" t="s">
        <v>206</v>
      </c>
    </row>
    <row r="15" spans="1:15"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5" ht="29.4" thickBot="1" x14ac:dyDescent="0.35">
      <c r="A16" s="179" t="s">
        <v>197</v>
      </c>
      <c r="B16" s="81">
        <f t="shared" ref="B16:K16" si="8">B12-B15</f>
        <v>6517.279740766533</v>
      </c>
      <c r="C16" s="81">
        <f t="shared" si="8"/>
        <v>6392.1861260705373</v>
      </c>
      <c r="D16" s="81">
        <f t="shared" si="8"/>
        <v>6118.395522768712</v>
      </c>
      <c r="E16" s="81">
        <f t="shared" si="8"/>
        <v>5845.6237039535999</v>
      </c>
      <c r="F16" s="81">
        <f t="shared" si="8"/>
        <v>5573.4690601800021</v>
      </c>
      <c r="G16" s="81">
        <f t="shared" si="8"/>
        <v>5450.5580125875213</v>
      </c>
      <c r="H16" s="81">
        <f t="shared" si="8"/>
        <v>5162.1763768477877</v>
      </c>
      <c r="I16" s="81">
        <f t="shared" si="8"/>
        <v>4899.6201081492054</v>
      </c>
      <c r="J16" s="81">
        <f t="shared" si="8"/>
        <v>4787.4924514748027</v>
      </c>
      <c r="K16" s="81">
        <f t="shared" si="8"/>
        <v>4520.9256332214991</v>
      </c>
      <c r="L16" s="88" t="s">
        <v>265</v>
      </c>
      <c r="M16" s="58"/>
      <c r="N16" s="58"/>
      <c r="O16" s="58"/>
    </row>
    <row r="17" spans="1:15" x14ac:dyDescent="0.3">
      <c r="A17" s="82"/>
      <c r="B17" s="82"/>
      <c r="C17" s="82"/>
      <c r="D17" s="82"/>
      <c r="E17" s="82"/>
      <c r="F17" s="82"/>
      <c r="G17" s="82"/>
      <c r="H17" s="82"/>
      <c r="I17" s="82"/>
      <c r="J17" s="82"/>
      <c r="K17" s="82"/>
      <c r="L17" s="58"/>
      <c r="M17" s="58"/>
      <c r="N17" s="58"/>
      <c r="O17" s="58"/>
    </row>
    <row r="18" spans="1:15" ht="15.6" x14ac:dyDescent="0.3">
      <c r="A18" s="82"/>
      <c r="B18" s="82"/>
      <c r="C18" s="82"/>
      <c r="D18" s="82"/>
      <c r="E18" s="82"/>
      <c r="F18" s="82"/>
      <c r="G18" s="82"/>
      <c r="H18" s="82"/>
      <c r="I18" s="82"/>
      <c r="J18" s="82"/>
      <c r="K18" s="82"/>
      <c r="L18" s="58"/>
      <c r="M18" s="58"/>
      <c r="O18" s="3"/>
    </row>
  </sheetData>
  <mergeCells count="3">
    <mergeCell ref="B1:L1"/>
    <mergeCell ref="N1:O1"/>
    <mergeCell ref="B13:J1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customWidth="1"/>
    <col min="14" max="14" width="8.6640625" customWidth="1"/>
    <col min="15" max="15" width="34.109375" customWidth="1"/>
    <col min="16" max="17" width="12" customWidth="1"/>
    <col min="18" max="18" width="7.33203125" customWidth="1"/>
    <col min="19" max="19" width="14.33203125" customWidth="1"/>
    <col min="20" max="20" width="10.6640625" bestFit="1" customWidth="1"/>
  </cols>
  <sheetData>
    <row r="1" spans="1:18" s="58" customFormat="1" ht="15.6" x14ac:dyDescent="0.3">
      <c r="A1" s="97" t="s">
        <v>6</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1.5a'!$A:$A, "Imperial Irrigation District Control Area")*1000</f>
        <v>4151000</v>
      </c>
      <c r="C3" s="61">
        <f>SUMIFS('Form 1.5a'!K:K, 'Form 1.5a'!$A:$A, "Imperial Irrigation District Control Area")*1000</f>
        <v>4228000</v>
      </c>
      <c r="D3" s="61">
        <f>SUMIFS('Form 1.5a'!L:L, 'Form 1.5a'!$A:$A, "Imperial Irrigation District Control Area")*1000</f>
        <v>4300000</v>
      </c>
      <c r="E3" s="61">
        <f>SUMIFS('Form 1.5a'!M:M, 'Form 1.5a'!$A:$A, "Imperial Irrigation District Control Area")*1000</f>
        <v>4370000</v>
      </c>
      <c r="F3" s="61">
        <f>SUMIFS('Form 1.5a'!N:N, 'Form 1.5a'!$A:$A, "Imperial Irrigation District Control Area")*1000</f>
        <v>4441000</v>
      </c>
      <c r="G3" s="61">
        <f>SUMIFS('Form 1.5a'!O:O, 'Form 1.5a'!$A:$A, "Imperial Irrigation District Control Area")*1000</f>
        <v>4504000</v>
      </c>
      <c r="H3" s="65">
        <f>AVERAGE(E3:G3)*(1+$N$8)</f>
        <v>4498988.7724816324</v>
      </c>
      <c r="I3" s="65">
        <f t="shared" ref="I3:K4" si="0">H3*(1+$N$8)</f>
        <v>4560473.144930331</v>
      </c>
      <c r="J3" s="65">
        <f t="shared" si="0"/>
        <v>4622797.7791015161</v>
      </c>
      <c r="K3" s="65">
        <f t="shared" si="0"/>
        <v>4685974.158234491</v>
      </c>
      <c r="L3" s="84" t="s">
        <v>209</v>
      </c>
      <c r="N3" s="62">
        <v>0.91839999999999999</v>
      </c>
      <c r="O3" s="8" t="s">
        <v>199</v>
      </c>
    </row>
    <row r="4" spans="1:18" s="58" customFormat="1" ht="57.6" x14ac:dyDescent="0.3">
      <c r="A4" s="99" t="s">
        <v>167</v>
      </c>
      <c r="B4" s="61">
        <f>SUMIFS('Form 1.1c'!J:J, 'Form 1.1c'!$B:$B, "Imperial Irrigation District")*1000</f>
        <v>3682000</v>
      </c>
      <c r="C4" s="61">
        <f>SUMIFS('Form 1.1c'!K:K, 'Form 1.1c'!$B:$B, "Imperial Irrigation District")*1000</f>
        <v>3751000</v>
      </c>
      <c r="D4" s="61">
        <f>SUMIFS('Form 1.1c'!L:L, 'Form 1.1c'!$B:$B, "Imperial Irrigation District")*1000</f>
        <v>3815000</v>
      </c>
      <c r="E4" s="61">
        <f>SUMIFS('Form 1.1c'!M:M, 'Form 1.1c'!$B:$B, "Imperial Irrigation District")*1000</f>
        <v>3877000</v>
      </c>
      <c r="F4" s="61">
        <f>SUMIFS('Form 1.1c'!N:N, 'Form 1.1c'!$B:$B, "Imperial Irrigation District")*1000</f>
        <v>3941000</v>
      </c>
      <c r="G4" s="61">
        <f>SUMIFS('Form 1.1c'!O:O, 'Form 1.1c'!$B:$B, "Imperial Irrigation District")*1000</f>
        <v>3997000</v>
      </c>
      <c r="H4" s="65">
        <f>AVERAGE(E4:G4)*(1+$N$8)</f>
        <v>3992155.6400203151</v>
      </c>
      <c r="I4" s="61">
        <f t="shared" si="0"/>
        <v>4046713.4966092282</v>
      </c>
      <c r="J4" s="61">
        <f t="shared" si="0"/>
        <v>4102016.9553198968</v>
      </c>
      <c r="K4" s="61">
        <f t="shared" si="0"/>
        <v>4158076.2057484435</v>
      </c>
      <c r="L4" s="84" t="s">
        <v>211</v>
      </c>
      <c r="N4" s="68">
        <f>0.15</f>
        <v>0.15</v>
      </c>
      <c r="O4" s="84" t="s">
        <v>165</v>
      </c>
    </row>
    <row r="5" spans="1:18" s="58" customFormat="1" ht="28.8" x14ac:dyDescent="0.3">
      <c r="A5" s="99" t="s">
        <v>191</v>
      </c>
      <c r="B5" s="61">
        <f>IF(0&lt;(B3-B4)/B3,B4,B3*(1-$N$5))</f>
        <v>3682000</v>
      </c>
      <c r="C5" s="61">
        <f t="shared" ref="C5:K5" si="1">IF(0&lt;(C3-C4)/C3,C4,C3*(1-$N$5))</f>
        <v>3751000</v>
      </c>
      <c r="D5" s="61">
        <f t="shared" si="1"/>
        <v>3815000</v>
      </c>
      <c r="E5" s="61">
        <f t="shared" si="1"/>
        <v>3877000</v>
      </c>
      <c r="F5" s="61">
        <f t="shared" si="1"/>
        <v>3941000</v>
      </c>
      <c r="G5" s="61">
        <f t="shared" si="1"/>
        <v>3997000</v>
      </c>
      <c r="H5" s="61">
        <f t="shared" si="1"/>
        <v>3992155.6400203151</v>
      </c>
      <c r="I5" s="61">
        <f t="shared" si="1"/>
        <v>4046713.4966092282</v>
      </c>
      <c r="J5" s="61">
        <f t="shared" si="1"/>
        <v>4102016.9553198968</v>
      </c>
      <c r="K5" s="61">
        <f t="shared" si="1"/>
        <v>4158076.2057484435</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1" t="s">
        <v>223</v>
      </c>
      <c r="N6" s="63">
        <v>0.05</v>
      </c>
      <c r="O6" s="84" t="s">
        <v>200</v>
      </c>
    </row>
    <row r="7" spans="1:18" s="58" customFormat="1" ht="43.2" x14ac:dyDescent="0.3">
      <c r="A7" s="99" t="s">
        <v>169</v>
      </c>
      <c r="B7" s="61">
        <v>115179.99999999999</v>
      </c>
      <c r="C7" s="61">
        <v>114479.99999999999</v>
      </c>
      <c r="D7" s="61">
        <v>108040</v>
      </c>
      <c r="E7" s="61">
        <v>111649.99999999999</v>
      </c>
      <c r="F7" s="61">
        <f>AVERAGE(C7:E7)</f>
        <v>111390</v>
      </c>
      <c r="G7" s="61">
        <f>F7</f>
        <v>111390</v>
      </c>
      <c r="H7" s="61">
        <f t="shared" ref="H7:K8" si="2">G7</f>
        <v>111390</v>
      </c>
      <c r="I7" s="61">
        <f t="shared" si="2"/>
        <v>111390</v>
      </c>
      <c r="J7" s="61">
        <f t="shared" si="2"/>
        <v>111390</v>
      </c>
      <c r="K7" s="61">
        <f t="shared" si="2"/>
        <v>111390</v>
      </c>
      <c r="L7" s="84" t="s">
        <v>234</v>
      </c>
      <c r="O7" s="101"/>
    </row>
    <row r="8" spans="1:18" s="58" customFormat="1" ht="28.8" x14ac:dyDescent="0.3">
      <c r="A8" s="99" t="s">
        <v>170</v>
      </c>
      <c r="B8" s="65">
        <v>156700</v>
      </c>
      <c r="C8" s="65">
        <v>156700</v>
      </c>
      <c r="D8" s="65">
        <v>156700</v>
      </c>
      <c r="E8" s="65">
        <v>156700</v>
      </c>
      <c r="F8" s="61">
        <f>AVERAGE(C8:E8)</f>
        <v>156700</v>
      </c>
      <c r="G8" s="61">
        <f>F8</f>
        <v>156700</v>
      </c>
      <c r="H8" s="61">
        <f t="shared" si="2"/>
        <v>156700</v>
      </c>
      <c r="I8" s="61">
        <f t="shared" si="2"/>
        <v>156700</v>
      </c>
      <c r="J8" s="61">
        <f t="shared" si="2"/>
        <v>156700</v>
      </c>
      <c r="K8" s="61">
        <f t="shared" si="2"/>
        <v>156700</v>
      </c>
      <c r="L8" s="84" t="s">
        <v>230</v>
      </c>
      <c r="N8" s="64">
        <v>1.3666264922636007E-2</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1104600</v>
      </c>
      <c r="C10" s="61">
        <f t="shared" ref="C10:K10" si="3">C5*C9</f>
        <v>1162810</v>
      </c>
      <c r="D10" s="61">
        <f t="shared" si="3"/>
        <v>1258950</v>
      </c>
      <c r="E10" s="61">
        <f t="shared" si="3"/>
        <v>1356950</v>
      </c>
      <c r="F10" s="61">
        <f t="shared" si="3"/>
        <v>1458170</v>
      </c>
      <c r="G10" s="61">
        <f t="shared" si="3"/>
        <v>1518860</v>
      </c>
      <c r="H10" s="61">
        <f t="shared" si="3"/>
        <v>1596862.2560081261</v>
      </c>
      <c r="I10" s="61">
        <f t="shared" si="3"/>
        <v>1699619.6685758757</v>
      </c>
      <c r="J10" s="61">
        <f t="shared" si="3"/>
        <v>1763867.2907875555</v>
      </c>
      <c r="K10" s="61">
        <f t="shared" si="3"/>
        <v>1871134.2925867997</v>
      </c>
      <c r="L10" s="84" t="s">
        <v>376</v>
      </c>
      <c r="N10" s="122"/>
      <c r="O10" s="60"/>
    </row>
    <row r="11" spans="1:18" s="58" customFormat="1" ht="28.8" x14ac:dyDescent="0.3">
      <c r="A11" s="99" t="s">
        <v>172</v>
      </c>
      <c r="B11" s="61">
        <f t="shared" ref="B11:K11" si="4">MAX(B3-SUM(B6:B8,B10), B3*$N$6)</f>
        <v>2774520</v>
      </c>
      <c r="C11" s="61">
        <f t="shared" si="4"/>
        <v>2794010</v>
      </c>
      <c r="D11" s="61">
        <f t="shared" si="4"/>
        <v>2776310</v>
      </c>
      <c r="E11" s="61">
        <f t="shared" si="4"/>
        <v>2744700</v>
      </c>
      <c r="F11" s="61">
        <f t="shared" si="4"/>
        <v>2714740</v>
      </c>
      <c r="G11" s="61">
        <f t="shared" si="4"/>
        <v>2717050</v>
      </c>
      <c r="H11" s="61">
        <f t="shared" si="4"/>
        <v>2634036.5164735066</v>
      </c>
      <c r="I11" s="61">
        <f t="shared" si="4"/>
        <v>2592763.4763544556</v>
      </c>
      <c r="J11" s="61">
        <f t="shared" si="4"/>
        <v>2590840.4883139608</v>
      </c>
      <c r="K11" s="61">
        <f t="shared" si="4"/>
        <v>2546749.8656476913</v>
      </c>
      <c r="L11" s="84" t="s">
        <v>203</v>
      </c>
    </row>
    <row r="12" spans="1:18" s="58" customFormat="1" ht="43.8" x14ac:dyDescent="0.35">
      <c r="A12" s="99" t="s">
        <v>194</v>
      </c>
      <c r="B12" s="61">
        <f t="shared" ref="B12:K12" si="5">B6*$N$3+B11*$N$2</f>
        <v>1208026.0079999999</v>
      </c>
      <c r="C12" s="61">
        <f t="shared" si="5"/>
        <v>1216511.9539999999</v>
      </c>
      <c r="D12" s="61">
        <f t="shared" si="5"/>
        <v>1208805.3740000001</v>
      </c>
      <c r="E12" s="61">
        <f t="shared" si="5"/>
        <v>1195042.3800000001</v>
      </c>
      <c r="F12" s="61">
        <f t="shared" si="5"/>
        <v>1181997.7960000001</v>
      </c>
      <c r="G12" s="61">
        <f t="shared" si="5"/>
        <v>1183003.57</v>
      </c>
      <c r="H12" s="61">
        <f t="shared" si="5"/>
        <v>1146859.4992725649</v>
      </c>
      <c r="I12" s="61">
        <f t="shared" si="5"/>
        <v>1128889.21760473</v>
      </c>
      <c r="J12" s="61">
        <f t="shared" si="5"/>
        <v>1128051.9486118986</v>
      </c>
      <c r="K12" s="61">
        <f t="shared" si="5"/>
        <v>1108854.8915030048</v>
      </c>
      <c r="L12" s="102" t="s">
        <v>204</v>
      </c>
    </row>
    <row r="13" spans="1:18" s="58" customFormat="1" ht="72" x14ac:dyDescent="0.3">
      <c r="A13" s="99"/>
      <c r="B13" s="204" t="s">
        <v>205</v>
      </c>
      <c r="C13" s="205"/>
      <c r="D13" s="205"/>
      <c r="E13" s="205"/>
      <c r="F13" s="205"/>
      <c r="G13" s="205"/>
      <c r="H13" s="205"/>
      <c r="I13" s="205"/>
      <c r="J13" s="206"/>
      <c r="K13" s="177">
        <v>28557.224999999999</v>
      </c>
      <c r="L13" s="102" t="s">
        <v>368</v>
      </c>
    </row>
    <row r="14" spans="1:18" s="58" customFormat="1" ht="30" x14ac:dyDescent="0.35">
      <c r="A14" s="99" t="s">
        <v>195</v>
      </c>
      <c r="B14" s="80">
        <f t="shared" ref="B14:K14" si="6">B12/B3</f>
        <v>0.29102047892074195</v>
      </c>
      <c r="C14" s="80">
        <f t="shared" si="6"/>
        <v>0.28772751986754963</v>
      </c>
      <c r="D14" s="80">
        <f t="shared" si="6"/>
        <v>0.28111752883720931</v>
      </c>
      <c r="E14" s="80">
        <f t="shared" si="6"/>
        <v>0.27346507551487415</v>
      </c>
      <c r="F14" s="80">
        <f t="shared" si="6"/>
        <v>0.2661557748254898</v>
      </c>
      <c r="G14" s="80">
        <f t="shared" si="6"/>
        <v>0.26265621003552397</v>
      </c>
      <c r="H14" s="80">
        <f t="shared" si="6"/>
        <v>0.25491495028558597</v>
      </c>
      <c r="I14" s="80">
        <f t="shared" si="6"/>
        <v>0.24753774043372329</v>
      </c>
      <c r="J14" s="80">
        <f t="shared" si="6"/>
        <v>0.2440193152535316</v>
      </c>
      <c r="K14" s="80">
        <f t="shared" si="6"/>
        <v>0.23663273719818848</v>
      </c>
      <c r="L14" s="84" t="s">
        <v>206</v>
      </c>
    </row>
    <row r="15" spans="1:18" s="58" customFormat="1" ht="30.6" thickBot="1" x14ac:dyDescent="0.4">
      <c r="A15" s="99" t="s">
        <v>196</v>
      </c>
      <c r="B15" s="79">
        <f>$K$13*B14</f>
        <v>8310.7372961473848</v>
      </c>
      <c r="C15" s="79">
        <f t="shared" ref="C15:K15" si="7">$K$13*C14</f>
        <v>8216.6995235495851</v>
      </c>
      <c r="D15" s="79">
        <f t="shared" si="7"/>
        <v>8027.9365224481744</v>
      </c>
      <c r="E15" s="79">
        <f t="shared" si="7"/>
        <v>7809.4036911202511</v>
      </c>
      <c r="F15" s="79">
        <f t="shared" si="7"/>
        <v>7600.6703467408479</v>
      </c>
      <c r="G15" s="79">
        <f t="shared" si="7"/>
        <v>7500.7324876317161</v>
      </c>
      <c r="H15" s="79">
        <f t="shared" si="7"/>
        <v>7279.6635911692929</v>
      </c>
      <c r="I15" s="79">
        <f t="shared" si="7"/>
        <v>7068.9909495574329</v>
      </c>
      <c r="J15" s="79">
        <f t="shared" si="7"/>
        <v>6968.5144900410332</v>
      </c>
      <c r="K15" s="79">
        <f t="shared" si="7"/>
        <v>6757.5743185345373</v>
      </c>
      <c r="L15" s="84" t="s">
        <v>250</v>
      </c>
    </row>
    <row r="16" spans="1:18" ht="29.4" thickBot="1" x14ac:dyDescent="0.35">
      <c r="A16" s="179" t="s">
        <v>197</v>
      </c>
      <c r="B16" s="81">
        <f t="shared" ref="B16:K16" si="8">B12-B15</f>
        <v>1199715.2707038526</v>
      </c>
      <c r="C16" s="81">
        <f t="shared" si="8"/>
        <v>1208295.2544764504</v>
      </c>
      <c r="D16" s="81">
        <f t="shared" si="8"/>
        <v>1200777.4374775519</v>
      </c>
      <c r="E16" s="81">
        <f t="shared" si="8"/>
        <v>1187232.9763088799</v>
      </c>
      <c r="F16" s="81">
        <f t="shared" si="8"/>
        <v>1174397.1256532592</v>
      </c>
      <c r="G16" s="81">
        <f t="shared" si="8"/>
        <v>1175502.8375123683</v>
      </c>
      <c r="H16" s="81">
        <f t="shared" si="8"/>
        <v>1139579.8356813956</v>
      </c>
      <c r="I16" s="81">
        <f t="shared" si="8"/>
        <v>1121820.2266551726</v>
      </c>
      <c r="J16" s="81">
        <f t="shared" si="8"/>
        <v>1121083.4341218576</v>
      </c>
      <c r="K16" s="81">
        <f t="shared" si="8"/>
        <v>1102097.3171844704</v>
      </c>
      <c r="L16" s="88" t="s">
        <v>265</v>
      </c>
      <c r="P16" s="58"/>
      <c r="Q16" s="58"/>
      <c r="R16" s="58"/>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82"/>
      <c r="J18" s="82"/>
      <c r="K18" s="82"/>
      <c r="N18" s="4"/>
      <c r="O18" s="4"/>
    </row>
  </sheetData>
  <mergeCells count="3">
    <mergeCell ref="B1:L1"/>
    <mergeCell ref="N1:O1"/>
    <mergeCell ref="B13:J1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106</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7212.9164204153376</v>
      </c>
      <c r="C3" s="65">
        <f>B3*(1+$N$8)</f>
        <v>7306.1704342582125</v>
      </c>
      <c r="D3" s="65">
        <f>C3*(1+$N$8)</f>
        <v>7400.6301061998274</v>
      </c>
      <c r="E3" s="65">
        <f>D3*(1+$N$8)</f>
        <v>7496.3110238957815</v>
      </c>
      <c r="F3" s="65">
        <f>E3*(1+$N$8)</f>
        <v>7593.2289765306214</v>
      </c>
      <c r="G3" s="65">
        <f>F3*(1+$N$8)</f>
        <v>7691.3999574233585</v>
      </c>
      <c r="H3" s="65">
        <f t="shared" ref="H3:K4" si="0">G3*(1+$N$8)</f>
        <v>7790.8401666666741</v>
      </c>
      <c r="I3" s="65">
        <f t="shared" si="0"/>
        <v>7891.5660138002422</v>
      </c>
      <c r="J3" s="65">
        <f t="shared" si="0"/>
        <v>7993.5941205186218</v>
      </c>
      <c r="K3" s="65">
        <f t="shared" si="0"/>
        <v>8096.9413234141521</v>
      </c>
      <c r="L3" s="84" t="s">
        <v>210</v>
      </c>
      <c r="N3" s="62">
        <v>0.91839999999999999</v>
      </c>
      <c r="O3" s="8" t="s">
        <v>199</v>
      </c>
    </row>
    <row r="4" spans="1:18" s="58" customFormat="1" ht="57.6" x14ac:dyDescent="0.3">
      <c r="A4" s="99" t="s">
        <v>167</v>
      </c>
      <c r="B4" s="61">
        <f>SUMIFS('Form 1.1c'!J:J, 'Form 1.1c'!$B:$B, "Kirkwood Meadows Public Utility District")*1000</f>
        <v>7000</v>
      </c>
      <c r="C4" s="61">
        <f>SUMIFS('Form 1.1c'!K:K, 'Form 1.1c'!$B:$B, "Kirkwood Meadows Public Utility District")*1000</f>
        <v>7000</v>
      </c>
      <c r="D4" s="61">
        <f>SUMIFS('Form 1.1c'!L:L, 'Form 1.1c'!$B:$B, "Kirkwood Meadows Public Utility District")*1000</f>
        <v>7000</v>
      </c>
      <c r="E4" s="61">
        <f>SUMIFS('Form 1.1c'!M:M, 'Form 1.1c'!$B:$B, "Kirkwood Meadows Public Utility District")*1000</f>
        <v>7000</v>
      </c>
      <c r="F4" s="61">
        <f>SUMIFS('Form 1.1c'!N:N, 'Form 1.1c'!$B:$B, "Kirkwood Meadows Public Utility District")*1000</f>
        <v>7000</v>
      </c>
      <c r="G4" s="61">
        <f>SUMIFS('Form 1.1c'!O:O, 'Form 1.1c'!$B:$B, "Kirkwood Meadows Public Utility District")*1000</f>
        <v>7000</v>
      </c>
      <c r="H4" s="65">
        <f>AVERAGE(E4:G4)*(1+$N$8)</f>
        <v>7090.5012700622055</v>
      </c>
      <c r="I4" s="61">
        <f t="shared" si="0"/>
        <v>7182.1726086791068</v>
      </c>
      <c r="J4" s="61">
        <f t="shared" si="0"/>
        <v>7275.0291433778839</v>
      </c>
      <c r="K4" s="61">
        <f t="shared" si="0"/>
        <v>7369.0861972657776</v>
      </c>
      <c r="L4" s="84" t="s">
        <v>211</v>
      </c>
      <c r="N4" s="68">
        <f>0.15</f>
        <v>0.15</v>
      </c>
      <c r="O4" s="84" t="s">
        <v>165</v>
      </c>
    </row>
    <row r="5" spans="1:18" s="58" customFormat="1" ht="28.8" x14ac:dyDescent="0.3">
      <c r="A5" s="99" t="s">
        <v>191</v>
      </c>
      <c r="B5" s="61">
        <f>IF(0&lt;(B3-B4)/B3,B4,B3*(1-$N$5))</f>
        <v>7000</v>
      </c>
      <c r="C5" s="61">
        <f t="shared" ref="C5:K5" si="1">IF(0&lt;(C3-C4)/C3,C4,C3*(1-$N$5))</f>
        <v>7000</v>
      </c>
      <c r="D5" s="61">
        <f t="shared" si="1"/>
        <v>7000</v>
      </c>
      <c r="E5" s="61">
        <f t="shared" si="1"/>
        <v>7000</v>
      </c>
      <c r="F5" s="61">
        <f t="shared" si="1"/>
        <v>7000</v>
      </c>
      <c r="G5" s="61">
        <f t="shared" si="1"/>
        <v>7000</v>
      </c>
      <c r="H5" s="61">
        <f t="shared" si="1"/>
        <v>7090.5012700622055</v>
      </c>
      <c r="I5" s="61">
        <f t="shared" si="1"/>
        <v>7182.1726086791068</v>
      </c>
      <c r="J5" s="61">
        <f t="shared" si="1"/>
        <v>7275.0291433778839</v>
      </c>
      <c r="K5" s="61">
        <f t="shared" si="1"/>
        <v>7369.0861972657776</v>
      </c>
      <c r="L5" s="84" t="s">
        <v>271</v>
      </c>
      <c r="N5" s="68">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1.2928752866029347E-2</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 t="shared" ref="B10:K10" si="2">B5*B9</f>
        <v>2100</v>
      </c>
      <c r="C10" s="61">
        <f t="shared" si="2"/>
        <v>2170</v>
      </c>
      <c r="D10" s="61">
        <f t="shared" si="2"/>
        <v>2310</v>
      </c>
      <c r="E10" s="61">
        <f t="shared" si="2"/>
        <v>2450</v>
      </c>
      <c r="F10" s="61">
        <f t="shared" si="2"/>
        <v>2590</v>
      </c>
      <c r="G10" s="61">
        <f t="shared" si="2"/>
        <v>2660</v>
      </c>
      <c r="H10" s="61">
        <f t="shared" si="2"/>
        <v>2836.2005080248823</v>
      </c>
      <c r="I10" s="61">
        <f t="shared" si="2"/>
        <v>3016.5124956452246</v>
      </c>
      <c r="J10" s="61">
        <f t="shared" si="2"/>
        <v>3128.26253165249</v>
      </c>
      <c r="K10" s="61">
        <f t="shared" si="2"/>
        <v>3316.0887887695999</v>
      </c>
      <c r="L10" s="84" t="s">
        <v>376</v>
      </c>
      <c r="N10" s="122"/>
      <c r="O10" s="60"/>
    </row>
    <row r="11" spans="1:18" s="58" customFormat="1" ht="28.8" x14ac:dyDescent="0.3">
      <c r="A11" s="99" t="s">
        <v>172</v>
      </c>
      <c r="B11" s="61">
        <f>MAX(B3-SUM(B6:B8,B10), B3*$N$6)</f>
        <v>5112.9164204153376</v>
      </c>
      <c r="C11" s="61">
        <f t="shared" ref="C11:K11" si="3">MAX(C3-SUM(C6:C8,C10), C3*$N$6)</f>
        <v>5136.1704342582125</v>
      </c>
      <c r="D11" s="61">
        <f t="shared" si="3"/>
        <v>5090.6301061998274</v>
      </c>
      <c r="E11" s="61">
        <f t="shared" si="3"/>
        <v>5046.3110238957815</v>
      </c>
      <c r="F11" s="61">
        <f t="shared" si="3"/>
        <v>5003.2289765306214</v>
      </c>
      <c r="G11" s="61">
        <f t="shared" si="3"/>
        <v>5031.3999574233585</v>
      </c>
      <c r="H11" s="61">
        <f t="shared" si="3"/>
        <v>4954.6396586417923</v>
      </c>
      <c r="I11" s="61">
        <f t="shared" si="3"/>
        <v>4875.0535181550176</v>
      </c>
      <c r="J11" s="61">
        <f t="shared" si="3"/>
        <v>4865.3315888661318</v>
      </c>
      <c r="K11" s="61">
        <f t="shared" si="3"/>
        <v>4780.8525346445522</v>
      </c>
      <c r="L11" s="84" t="s">
        <v>203</v>
      </c>
    </row>
    <row r="12" spans="1:18" s="58" customFormat="1" ht="43.8" x14ac:dyDescent="0.35">
      <c r="A12" s="99" t="s">
        <v>194</v>
      </c>
      <c r="B12" s="61">
        <f t="shared" ref="B12:K12" si="4">B6*$N$3+B11*$N$2</f>
        <v>2226.163809448838</v>
      </c>
      <c r="C12" s="61">
        <f t="shared" si="4"/>
        <v>2236.288607076026</v>
      </c>
      <c r="D12" s="61">
        <f t="shared" si="4"/>
        <v>2216.460348239405</v>
      </c>
      <c r="E12" s="61">
        <f t="shared" si="4"/>
        <v>2197.1638198042233</v>
      </c>
      <c r="F12" s="61">
        <f t="shared" si="4"/>
        <v>2178.4058963814327</v>
      </c>
      <c r="G12" s="61">
        <f t="shared" si="4"/>
        <v>2190.6715414621303</v>
      </c>
      <c r="H12" s="61">
        <f t="shared" si="4"/>
        <v>2157.2501073726362</v>
      </c>
      <c r="I12" s="61">
        <f t="shared" si="4"/>
        <v>2122.5983018046945</v>
      </c>
      <c r="J12" s="61">
        <f t="shared" si="4"/>
        <v>2118.3653737923137</v>
      </c>
      <c r="K12" s="61">
        <f t="shared" si="4"/>
        <v>2081.583193584238</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5">B12/B3</f>
        <v>0.30863574172964697</v>
      </c>
      <c r="C14" s="80">
        <f t="shared" si="5"/>
        <v>0.30608218453133773</v>
      </c>
      <c r="D14" s="80">
        <f t="shared" si="5"/>
        <v>0.29949616673620538</v>
      </c>
      <c r="E14" s="80">
        <f t="shared" si="5"/>
        <v>0.2930993408358305</v>
      </c>
      <c r="F14" s="80">
        <f t="shared" si="5"/>
        <v>0.28688795018753083</v>
      </c>
      <c r="G14" s="80">
        <f t="shared" si="5"/>
        <v>0.28482091083402866</v>
      </c>
      <c r="H14" s="80">
        <f t="shared" si="5"/>
        <v>0.27689569561476701</v>
      </c>
      <c r="I14" s="80">
        <f t="shared" si="5"/>
        <v>0.26897048039550536</v>
      </c>
      <c r="J14" s="80">
        <f t="shared" si="5"/>
        <v>0.26500787278587457</v>
      </c>
      <c r="K14" s="80">
        <f t="shared" si="5"/>
        <v>0.25708265756661292</v>
      </c>
      <c r="L14" s="84" t="s">
        <v>206</v>
      </c>
    </row>
    <row r="15" spans="1:18" s="58" customFormat="1" ht="30.6" thickBot="1" x14ac:dyDescent="0.4">
      <c r="A15" s="99" t="s">
        <v>196</v>
      </c>
      <c r="B15" s="79">
        <f>$K$13*B14</f>
        <v>0</v>
      </c>
      <c r="C15" s="79">
        <f t="shared" ref="C15:K15" si="6">$K$13*C14</f>
        <v>0</v>
      </c>
      <c r="D15" s="79">
        <f t="shared" si="6"/>
        <v>0</v>
      </c>
      <c r="E15" s="79">
        <f t="shared" si="6"/>
        <v>0</v>
      </c>
      <c r="F15" s="79">
        <f t="shared" si="6"/>
        <v>0</v>
      </c>
      <c r="G15" s="79">
        <f t="shared" si="6"/>
        <v>0</v>
      </c>
      <c r="H15" s="79">
        <f t="shared" si="6"/>
        <v>0</v>
      </c>
      <c r="I15" s="79">
        <f t="shared" si="6"/>
        <v>0</v>
      </c>
      <c r="J15" s="79">
        <f t="shared" si="6"/>
        <v>0</v>
      </c>
      <c r="K15" s="79">
        <f t="shared" si="6"/>
        <v>0</v>
      </c>
      <c r="L15" s="84" t="s">
        <v>250</v>
      </c>
    </row>
    <row r="16" spans="1:18" ht="29.4" thickBot="1" x14ac:dyDescent="0.35">
      <c r="A16" s="179" t="s">
        <v>197</v>
      </c>
      <c r="B16" s="81">
        <f t="shared" ref="B16:K16" si="7">B12-B15</f>
        <v>2226.163809448838</v>
      </c>
      <c r="C16" s="81">
        <f t="shared" si="7"/>
        <v>2236.288607076026</v>
      </c>
      <c r="D16" s="81">
        <f t="shared" si="7"/>
        <v>2216.460348239405</v>
      </c>
      <c r="E16" s="81">
        <f t="shared" si="7"/>
        <v>2197.1638198042233</v>
      </c>
      <c r="F16" s="81">
        <f t="shared" si="7"/>
        <v>2178.4058963814327</v>
      </c>
      <c r="G16" s="81">
        <f t="shared" si="7"/>
        <v>2190.6715414621303</v>
      </c>
      <c r="H16" s="81">
        <f t="shared" si="7"/>
        <v>2157.2501073726362</v>
      </c>
      <c r="I16" s="81">
        <f t="shared" si="7"/>
        <v>2122.5983018046945</v>
      </c>
      <c r="J16" s="81">
        <f t="shared" si="7"/>
        <v>2118.3653737923137</v>
      </c>
      <c r="K16" s="81">
        <f t="shared" si="7"/>
        <v>2081.583193584238</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18</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147567.63992180148</v>
      </c>
      <c r="C3" s="65">
        <f>B3*(1+$N$8)</f>
        <v>148205.2226222491</v>
      </c>
      <c r="D3" s="65">
        <f>C3*(1+$N$8)</f>
        <v>148845.56007096081</v>
      </c>
      <c r="E3" s="65">
        <f>D3*(1+$N$8)</f>
        <v>149488.66417013845</v>
      </c>
      <c r="F3" s="65">
        <f>E3*(1+$N$8)</f>
        <v>150134.54687340869</v>
      </c>
      <c r="G3" s="65">
        <f>F3*(1+$N$8)</f>
        <v>150783.22018604519</v>
      </c>
      <c r="H3" s="65">
        <f t="shared" ref="H3:K4" si="0">G3*(1+$N$8)</f>
        <v>151434.69616519177</v>
      </c>
      <c r="I3" s="65">
        <f t="shared" si="0"/>
        <v>152088.98692008646</v>
      </c>
      <c r="J3" s="65">
        <f t="shared" si="0"/>
        <v>152746.1046122867</v>
      </c>
      <c r="K3" s="65">
        <f t="shared" si="0"/>
        <v>153406.06145589525</v>
      </c>
      <c r="L3" s="84" t="s">
        <v>210</v>
      </c>
      <c r="N3" s="62">
        <v>0.91839999999999999</v>
      </c>
      <c r="O3" s="8" t="s">
        <v>199</v>
      </c>
    </row>
    <row r="4" spans="1:18" s="58" customFormat="1" ht="57.6" x14ac:dyDescent="0.3">
      <c r="A4" s="99" t="s">
        <v>167</v>
      </c>
      <c r="B4" s="61">
        <f>SUMIFS('Form 1.1c'!J:J, 'Form 1.1c'!$B:$B, "Lassen Municipal Utility District")*1000</f>
        <v>135000</v>
      </c>
      <c r="C4" s="61">
        <f>SUMIFS('Form 1.1c'!K:K, 'Form 1.1c'!$B:$B, "Lassen Municipal Utility District")*1000</f>
        <v>136000</v>
      </c>
      <c r="D4" s="61">
        <f>SUMIFS('Form 1.1c'!L:L, 'Form 1.1c'!$B:$B, "Lassen Municipal Utility District")*1000</f>
        <v>137000</v>
      </c>
      <c r="E4" s="61">
        <f>SUMIFS('Form 1.1c'!M:M, 'Form 1.1c'!$B:$B, "Lassen Municipal Utility District")*1000</f>
        <v>137000</v>
      </c>
      <c r="F4" s="61">
        <f>SUMIFS('Form 1.1c'!N:N, 'Form 1.1c'!$B:$B, "Lassen Municipal Utility District")*1000</f>
        <v>138000</v>
      </c>
      <c r="G4" s="61">
        <f>SUMIFS('Form 1.1c'!O:O, 'Form 1.1c'!$B:$B, "Lassen Municipal Utility District")*1000</f>
        <v>138000</v>
      </c>
      <c r="H4" s="65">
        <f>AVERAGE(E4:G4)*(1+$N$8)</f>
        <v>138261.47109087149</v>
      </c>
      <c r="I4" s="61">
        <f t="shared" si="0"/>
        <v>138858.84543495323</v>
      </c>
      <c r="J4" s="61">
        <f t="shared" si="0"/>
        <v>139458.80080254175</v>
      </c>
      <c r="K4" s="61">
        <f t="shared" si="0"/>
        <v>140061.34834524142</v>
      </c>
      <c r="L4" s="84" t="s">
        <v>211</v>
      </c>
      <c r="N4" s="68">
        <f>0.15</f>
        <v>0.15</v>
      </c>
      <c r="O4" s="84" t="s">
        <v>165</v>
      </c>
    </row>
    <row r="5" spans="1:18" s="58" customFormat="1" ht="28.8" x14ac:dyDescent="0.3">
      <c r="A5" s="99" t="s">
        <v>191</v>
      </c>
      <c r="B5" s="61">
        <f>IF(0&lt;(B3-B4)/B3,B4,B3*(1-$N$5))</f>
        <v>135000</v>
      </c>
      <c r="C5" s="61">
        <f t="shared" ref="C5:K5" si="1">IF(0&lt;(C3-C4)/C3,C4,C3*(1-$N$5))</f>
        <v>136000</v>
      </c>
      <c r="D5" s="61">
        <f t="shared" si="1"/>
        <v>137000</v>
      </c>
      <c r="E5" s="61">
        <f t="shared" si="1"/>
        <v>137000</v>
      </c>
      <c r="F5" s="61">
        <f t="shared" si="1"/>
        <v>138000</v>
      </c>
      <c r="G5" s="61">
        <f t="shared" si="1"/>
        <v>138000</v>
      </c>
      <c r="H5" s="61">
        <f t="shared" si="1"/>
        <v>138261.47109087149</v>
      </c>
      <c r="I5" s="61">
        <f t="shared" si="1"/>
        <v>138858.84543495323</v>
      </c>
      <c r="J5" s="61">
        <f t="shared" si="1"/>
        <v>139458.80080254175</v>
      </c>
      <c r="K5" s="61">
        <f t="shared" si="1"/>
        <v>140061.34834524142</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ht="57.6" x14ac:dyDescent="0.3">
      <c r="A8" s="99" t="s">
        <v>170</v>
      </c>
      <c r="B8" s="65">
        <v>29414.155466666671</v>
      </c>
      <c r="C8" s="65">
        <f>B8</f>
        <v>29414.155466666671</v>
      </c>
      <c r="D8" s="65">
        <f t="shared" ref="D8:K8" si="2">C8</f>
        <v>29414.155466666671</v>
      </c>
      <c r="E8" s="65">
        <f t="shared" si="2"/>
        <v>29414.155466666671</v>
      </c>
      <c r="F8" s="65">
        <f t="shared" si="2"/>
        <v>29414.155466666671</v>
      </c>
      <c r="G8" s="65">
        <f t="shared" si="2"/>
        <v>29414.155466666671</v>
      </c>
      <c r="H8" s="65">
        <f t="shared" si="2"/>
        <v>29414.155466666671</v>
      </c>
      <c r="I8" s="65">
        <f t="shared" si="2"/>
        <v>29414.155466666671</v>
      </c>
      <c r="J8" s="65">
        <f t="shared" si="2"/>
        <v>29414.155466666671</v>
      </c>
      <c r="K8" s="65">
        <f t="shared" si="2"/>
        <v>29414.155466666671</v>
      </c>
      <c r="L8" s="84" t="s">
        <v>241</v>
      </c>
      <c r="N8" s="64">
        <v>4.3206132508826212E-3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40500</v>
      </c>
      <c r="C10" s="61">
        <f t="shared" ref="C10:K10" si="3">C5*C9</f>
        <v>42160</v>
      </c>
      <c r="D10" s="61">
        <f t="shared" si="3"/>
        <v>45210</v>
      </c>
      <c r="E10" s="61">
        <f t="shared" si="3"/>
        <v>47950</v>
      </c>
      <c r="F10" s="61">
        <f t="shared" si="3"/>
        <v>51060</v>
      </c>
      <c r="G10" s="61">
        <f t="shared" si="3"/>
        <v>52440</v>
      </c>
      <c r="H10" s="61">
        <f t="shared" si="3"/>
        <v>55304.588436348597</v>
      </c>
      <c r="I10" s="61">
        <f t="shared" si="3"/>
        <v>58320.715082680355</v>
      </c>
      <c r="J10" s="61">
        <f t="shared" si="3"/>
        <v>59967.28434509295</v>
      </c>
      <c r="K10" s="61">
        <f t="shared" si="3"/>
        <v>63027.60675535864</v>
      </c>
      <c r="L10" s="84" t="s">
        <v>376</v>
      </c>
      <c r="N10" s="122"/>
      <c r="O10" s="60"/>
    </row>
    <row r="11" spans="1:18" s="58" customFormat="1" ht="28.8" x14ac:dyDescent="0.3">
      <c r="A11" s="99" t="s">
        <v>172</v>
      </c>
      <c r="B11" s="61">
        <f t="shared" ref="B11:K11" si="4">MAX(B3-SUM(B6:B8,B10), B3*$N$6)</f>
        <v>77653.484455134807</v>
      </c>
      <c r="C11" s="61">
        <f t="shared" si="4"/>
        <v>76631.067155582423</v>
      </c>
      <c r="D11" s="61">
        <f t="shared" si="4"/>
        <v>74221.404604294134</v>
      </c>
      <c r="E11" s="61">
        <f t="shared" si="4"/>
        <v>72124.508703471773</v>
      </c>
      <c r="F11" s="61">
        <f t="shared" si="4"/>
        <v>69660.391406742012</v>
      </c>
      <c r="G11" s="61">
        <f t="shared" si="4"/>
        <v>68929.064719378512</v>
      </c>
      <c r="H11" s="61">
        <f t="shared" si="4"/>
        <v>66715.952262176492</v>
      </c>
      <c r="I11" s="61">
        <f t="shared" si="4"/>
        <v>64354.116370739444</v>
      </c>
      <c r="J11" s="61">
        <f t="shared" si="4"/>
        <v>63364.664800527069</v>
      </c>
      <c r="K11" s="61">
        <f t="shared" si="4"/>
        <v>60964.299233869941</v>
      </c>
      <c r="L11" s="84" t="s">
        <v>203</v>
      </c>
    </row>
    <row r="12" spans="1:18" s="58" customFormat="1" ht="43.8" x14ac:dyDescent="0.35">
      <c r="A12" s="99" t="s">
        <v>194</v>
      </c>
      <c r="B12" s="61">
        <f t="shared" ref="B12:K12" si="5">B6*$N$3+B11*$N$2</f>
        <v>33810.327131765698</v>
      </c>
      <c r="C12" s="61">
        <f t="shared" si="5"/>
        <v>33365.166639540585</v>
      </c>
      <c r="D12" s="61">
        <f t="shared" si="5"/>
        <v>32315.999564709666</v>
      </c>
      <c r="E12" s="61">
        <f t="shared" si="5"/>
        <v>31403.011089491611</v>
      </c>
      <c r="F12" s="61">
        <f t="shared" si="5"/>
        <v>30330.134418495472</v>
      </c>
      <c r="G12" s="61">
        <f t="shared" si="5"/>
        <v>30011.714778817404</v>
      </c>
      <c r="H12" s="61">
        <f t="shared" si="5"/>
        <v>29048.125614951645</v>
      </c>
      <c r="I12" s="61">
        <f t="shared" si="5"/>
        <v>28019.782267819955</v>
      </c>
      <c r="J12" s="61">
        <f t="shared" si="5"/>
        <v>27588.975054149487</v>
      </c>
      <c r="K12" s="61">
        <f t="shared" si="5"/>
        <v>26543.855886426973</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0.22911748910318241</v>
      </c>
      <c r="C14" s="80">
        <f t="shared" si="6"/>
        <v>0.22512814359169342</v>
      </c>
      <c r="D14" s="80">
        <f t="shared" si="6"/>
        <v>0.21711094069116538</v>
      </c>
      <c r="E14" s="80">
        <f t="shared" si="6"/>
        <v>0.21006951439308275</v>
      </c>
      <c r="F14" s="80">
        <f t="shared" si="6"/>
        <v>0.20201968867344974</v>
      </c>
      <c r="G14" s="80">
        <f t="shared" si="6"/>
        <v>0.19903882369528378</v>
      </c>
      <c r="H14" s="80">
        <f t="shared" si="6"/>
        <v>0.1918194862243765</v>
      </c>
      <c r="I14" s="80">
        <f t="shared" si="6"/>
        <v>0.18423281550650772</v>
      </c>
      <c r="J14" s="80">
        <f t="shared" si="6"/>
        <v>0.18061982742000654</v>
      </c>
      <c r="K14" s="80">
        <f t="shared" si="6"/>
        <v>0.17303003306722933</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33810.327131765698</v>
      </c>
      <c r="C16" s="81">
        <f t="shared" si="8"/>
        <v>33365.166639540585</v>
      </c>
      <c r="D16" s="81">
        <f t="shared" si="8"/>
        <v>32315.999564709666</v>
      </c>
      <c r="E16" s="81">
        <f t="shared" si="8"/>
        <v>31403.011089491611</v>
      </c>
      <c r="F16" s="81">
        <f t="shared" si="8"/>
        <v>30330.134418495472</v>
      </c>
      <c r="G16" s="81">
        <f t="shared" si="8"/>
        <v>30011.714778817404</v>
      </c>
      <c r="H16" s="81">
        <f t="shared" si="8"/>
        <v>29048.125614951645</v>
      </c>
      <c r="I16" s="81">
        <f t="shared" si="8"/>
        <v>28019.782267819955</v>
      </c>
      <c r="J16" s="81">
        <f t="shared" si="8"/>
        <v>27588.975054149487</v>
      </c>
      <c r="K16" s="81">
        <f t="shared" si="8"/>
        <v>26543.855886426973</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29</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 t="shared" ref="B3:K3" si="0">B4/(1-$N$5)</f>
        <v>603225.80645161297</v>
      </c>
      <c r="C3" s="61">
        <f t="shared" si="0"/>
        <v>608602.1505376345</v>
      </c>
      <c r="D3" s="61">
        <f t="shared" si="0"/>
        <v>613978.49462365592</v>
      </c>
      <c r="E3" s="61">
        <f t="shared" si="0"/>
        <v>618279.56989247317</v>
      </c>
      <c r="F3" s="61">
        <f t="shared" si="0"/>
        <v>621505.37634408602</v>
      </c>
      <c r="G3" s="61">
        <f t="shared" si="0"/>
        <v>624731.18279569899</v>
      </c>
      <c r="H3" s="61">
        <f t="shared" si="0"/>
        <v>625987.46017557522</v>
      </c>
      <c r="I3" s="61">
        <f t="shared" si="0"/>
        <v>630501.86725998728</v>
      </c>
      <c r="J3" s="61">
        <f t="shared" si="0"/>
        <v>635048.83070154767</v>
      </c>
      <c r="K3" s="61">
        <f t="shared" si="0"/>
        <v>639628.5852855494</v>
      </c>
      <c r="L3" s="84" t="s">
        <v>276</v>
      </c>
      <c r="N3" s="62">
        <v>0.91839999999999999</v>
      </c>
      <c r="O3" s="8" t="s">
        <v>199</v>
      </c>
    </row>
    <row r="4" spans="1:18" s="58" customFormat="1" ht="57.6" x14ac:dyDescent="0.3">
      <c r="A4" s="99" t="s">
        <v>167</v>
      </c>
      <c r="B4" s="61">
        <f>SUMIFS('Form 1.1c'!J:J, 'Form 1.1c'!$B:$B, "Liberty Utilities")*1000</f>
        <v>561000</v>
      </c>
      <c r="C4" s="61">
        <f>SUMIFS('Form 1.1c'!K:K, 'Form 1.1c'!$B:$B, "Liberty Utilities")*1000</f>
        <v>566000</v>
      </c>
      <c r="D4" s="61">
        <f>SUMIFS('Form 1.1c'!L:L, 'Form 1.1c'!$B:$B, "Liberty Utilities")*1000</f>
        <v>571000</v>
      </c>
      <c r="E4" s="61">
        <f>SUMIFS('Form 1.1c'!M:M, 'Form 1.1c'!$B:$B, "Liberty Utilities")*1000</f>
        <v>575000</v>
      </c>
      <c r="F4" s="61">
        <f>SUMIFS('Form 1.1c'!N:N, 'Form 1.1c'!$B:$B, "Liberty Utilities")*1000</f>
        <v>578000</v>
      </c>
      <c r="G4" s="61">
        <f>SUMIFS('Form 1.1c'!O:O, 'Form 1.1c'!$B:$B, "Liberty Utilities")*1000</f>
        <v>581000</v>
      </c>
      <c r="H4" s="65">
        <f>AVERAGE(E4:G4)*(1+$N$8)</f>
        <v>582168.33796328492</v>
      </c>
      <c r="I4" s="61">
        <f>H4*(1+$N$8)</f>
        <v>586366.73655178817</v>
      </c>
      <c r="J4" s="61">
        <f>I4*(1+$N$8)</f>
        <v>590595.41255243926</v>
      </c>
      <c r="K4" s="61">
        <f>J4*(1+$N$8)</f>
        <v>594854.58431556087</v>
      </c>
      <c r="L4" s="84" t="s">
        <v>211</v>
      </c>
      <c r="N4" s="68">
        <f>0.15</f>
        <v>0.15</v>
      </c>
      <c r="O4" s="84" t="s">
        <v>165</v>
      </c>
    </row>
    <row r="5" spans="1:18" s="58" customFormat="1" ht="28.8" x14ac:dyDescent="0.3">
      <c r="A5" s="99" t="s">
        <v>191</v>
      </c>
      <c r="B5" s="61">
        <f>IF(0&lt;(B3-B4)/B3,B4,B3*(1-$N$5))</f>
        <v>561000</v>
      </c>
      <c r="C5" s="61">
        <f t="shared" ref="C5:K5" si="1">IF(0&lt;(C3-C4)/C3,C4,C3*(1-$N$5))</f>
        <v>566000</v>
      </c>
      <c r="D5" s="61">
        <f t="shared" si="1"/>
        <v>571000</v>
      </c>
      <c r="E5" s="61">
        <f t="shared" si="1"/>
        <v>575000</v>
      </c>
      <c r="F5" s="61">
        <f t="shared" si="1"/>
        <v>578000</v>
      </c>
      <c r="G5" s="61">
        <f t="shared" si="1"/>
        <v>581000</v>
      </c>
      <c r="H5" s="61">
        <f t="shared" si="1"/>
        <v>582168.33796328492</v>
      </c>
      <c r="I5" s="61">
        <f t="shared" si="1"/>
        <v>586366.73655178817</v>
      </c>
      <c r="J5" s="61">
        <f t="shared" si="1"/>
        <v>590595.41255243926</v>
      </c>
      <c r="K5" s="61">
        <f t="shared" si="1"/>
        <v>594854.58431556087</v>
      </c>
      <c r="L5" s="84" t="s">
        <v>271</v>
      </c>
      <c r="N5" s="68">
        <f>0.07</f>
        <v>7.0000000000000007E-2</v>
      </c>
      <c r="O5" s="84" t="s">
        <v>275</v>
      </c>
    </row>
    <row r="6" spans="1:18" s="58" customFormat="1" ht="28.8" customHeight="1" x14ac:dyDescent="0.3">
      <c r="A6" s="99" t="s">
        <v>168</v>
      </c>
      <c r="B6" s="61">
        <v>0</v>
      </c>
      <c r="C6" s="61">
        <v>0</v>
      </c>
      <c r="D6" s="61">
        <v>0</v>
      </c>
      <c r="E6" s="61">
        <v>0</v>
      </c>
      <c r="F6" s="61">
        <v>0</v>
      </c>
      <c r="G6" s="61">
        <v>0</v>
      </c>
      <c r="H6" s="61">
        <v>0</v>
      </c>
      <c r="I6" s="61">
        <v>0</v>
      </c>
      <c r="J6" s="61">
        <v>0</v>
      </c>
      <c r="K6" s="61">
        <v>0</v>
      </c>
      <c r="L6" s="207" t="s">
        <v>240</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208"/>
      <c r="O7" s="101"/>
    </row>
    <row r="8" spans="1:18" s="58" customFormat="1" x14ac:dyDescent="0.3">
      <c r="A8" s="99" t="s">
        <v>170</v>
      </c>
      <c r="B8" s="61">
        <v>0</v>
      </c>
      <c r="C8" s="61">
        <v>0</v>
      </c>
      <c r="D8" s="61">
        <v>0</v>
      </c>
      <c r="E8" s="61">
        <v>0</v>
      </c>
      <c r="F8" s="61">
        <v>0</v>
      </c>
      <c r="G8" s="61">
        <v>0</v>
      </c>
      <c r="H8" s="61">
        <v>0</v>
      </c>
      <c r="I8" s="61">
        <v>0</v>
      </c>
      <c r="J8" s="61">
        <v>0</v>
      </c>
      <c r="K8" s="61">
        <v>0</v>
      </c>
      <c r="L8" s="209"/>
      <c r="N8" s="64">
        <v>7.2116573759255509E-3</v>
      </c>
      <c r="O8" s="84" t="s">
        <v>212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168300</v>
      </c>
      <c r="C10" s="61">
        <f t="shared" ref="C10:K10" si="2">C5*C9</f>
        <v>175460</v>
      </c>
      <c r="D10" s="61">
        <f t="shared" si="2"/>
        <v>188430</v>
      </c>
      <c r="E10" s="61">
        <f t="shared" si="2"/>
        <v>201250</v>
      </c>
      <c r="F10" s="61">
        <f t="shared" si="2"/>
        <v>213860</v>
      </c>
      <c r="G10" s="61">
        <f t="shared" si="2"/>
        <v>220780</v>
      </c>
      <c r="H10" s="61">
        <f t="shared" si="2"/>
        <v>232867.33518531398</v>
      </c>
      <c r="I10" s="61">
        <f t="shared" si="2"/>
        <v>246274.02935175103</v>
      </c>
      <c r="J10" s="61">
        <f t="shared" si="2"/>
        <v>253956.02739754887</v>
      </c>
      <c r="K10" s="61">
        <f t="shared" si="2"/>
        <v>267684.56294200238</v>
      </c>
      <c r="L10" s="84" t="s">
        <v>376</v>
      </c>
      <c r="N10" s="122"/>
      <c r="O10" s="60"/>
    </row>
    <row r="11" spans="1:18" s="58" customFormat="1" ht="28.8" x14ac:dyDescent="0.3">
      <c r="A11" s="99" t="s">
        <v>172</v>
      </c>
      <c r="B11" s="61">
        <f t="shared" ref="B11:K11" si="3">MAX(B3-SUM(B6:B8,B10), B3*$N$6)</f>
        <v>434925.80645161297</v>
      </c>
      <c r="C11" s="61">
        <f t="shared" si="3"/>
        <v>433142.1505376345</v>
      </c>
      <c r="D11" s="61">
        <f t="shared" si="3"/>
        <v>425548.49462365592</v>
      </c>
      <c r="E11" s="61">
        <f t="shared" si="3"/>
        <v>417029.56989247317</v>
      </c>
      <c r="F11" s="61">
        <f t="shared" si="3"/>
        <v>407645.37634408602</v>
      </c>
      <c r="G11" s="61">
        <f t="shared" si="3"/>
        <v>403951.18279569899</v>
      </c>
      <c r="H11" s="61">
        <f t="shared" si="3"/>
        <v>393120.12499026128</v>
      </c>
      <c r="I11" s="61">
        <f t="shared" si="3"/>
        <v>384227.83790823625</v>
      </c>
      <c r="J11" s="61">
        <f t="shared" si="3"/>
        <v>381092.80330399878</v>
      </c>
      <c r="K11" s="61">
        <f t="shared" si="3"/>
        <v>371944.02234354703</v>
      </c>
      <c r="L11" s="84" t="s">
        <v>203</v>
      </c>
    </row>
    <row r="12" spans="1:18" s="58" customFormat="1" ht="43.8" x14ac:dyDescent="0.35">
      <c r="A12" s="99" t="s">
        <v>194</v>
      </c>
      <c r="B12" s="61">
        <f t="shared" ref="B12:K12" si="4">B6*$N$3+B11*$N$2</f>
        <v>189366.69612903229</v>
      </c>
      <c r="C12" s="61">
        <f t="shared" si="4"/>
        <v>188590.09234408606</v>
      </c>
      <c r="D12" s="61">
        <f t="shared" si="4"/>
        <v>185283.81455913978</v>
      </c>
      <c r="E12" s="61">
        <f t="shared" si="4"/>
        <v>181574.67473118281</v>
      </c>
      <c r="F12" s="61">
        <f t="shared" si="4"/>
        <v>177488.79686021505</v>
      </c>
      <c r="G12" s="61">
        <f t="shared" si="4"/>
        <v>175880.34498924733</v>
      </c>
      <c r="H12" s="61">
        <f t="shared" si="4"/>
        <v>171164.50242075976</v>
      </c>
      <c r="I12" s="61">
        <f t="shared" si="4"/>
        <v>167292.80062524608</v>
      </c>
      <c r="J12" s="61">
        <f t="shared" si="4"/>
        <v>165927.80655856107</v>
      </c>
      <c r="K12" s="61">
        <f t="shared" si="4"/>
        <v>161944.42732838038</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5">B12/B3</f>
        <v>0.31392340000000002</v>
      </c>
      <c r="C14" s="80">
        <f t="shared" si="5"/>
        <v>0.30987418</v>
      </c>
      <c r="D14" s="80">
        <f t="shared" si="5"/>
        <v>0.30177573999999996</v>
      </c>
      <c r="E14" s="80">
        <f t="shared" si="5"/>
        <v>0.29367729999999997</v>
      </c>
      <c r="F14" s="80">
        <f t="shared" si="5"/>
        <v>0.28557885999999999</v>
      </c>
      <c r="G14" s="80">
        <f t="shared" si="5"/>
        <v>0.28152964000000003</v>
      </c>
      <c r="H14" s="80">
        <f t="shared" si="5"/>
        <v>0.27343120000000004</v>
      </c>
      <c r="I14" s="80">
        <f t="shared" si="5"/>
        <v>0.26533276</v>
      </c>
      <c r="J14" s="80">
        <f t="shared" si="5"/>
        <v>0.26128354000000004</v>
      </c>
      <c r="K14" s="80">
        <f t="shared" si="5"/>
        <v>0.25318510000000005</v>
      </c>
      <c r="L14" s="84" t="s">
        <v>206</v>
      </c>
    </row>
    <row r="15" spans="1:18" s="58" customFormat="1" ht="30.6" thickBot="1" x14ac:dyDescent="0.4">
      <c r="A15" s="99" t="s">
        <v>196</v>
      </c>
      <c r="B15" s="79">
        <f>$K$13*B14</f>
        <v>0</v>
      </c>
      <c r="C15" s="79">
        <f t="shared" ref="C15:K15" si="6">$K$13*C14</f>
        <v>0</v>
      </c>
      <c r="D15" s="79">
        <f t="shared" si="6"/>
        <v>0</v>
      </c>
      <c r="E15" s="79">
        <f t="shared" si="6"/>
        <v>0</v>
      </c>
      <c r="F15" s="79">
        <f t="shared" si="6"/>
        <v>0</v>
      </c>
      <c r="G15" s="79">
        <f t="shared" si="6"/>
        <v>0</v>
      </c>
      <c r="H15" s="79">
        <f t="shared" si="6"/>
        <v>0</v>
      </c>
      <c r="I15" s="79">
        <f t="shared" si="6"/>
        <v>0</v>
      </c>
      <c r="J15" s="79">
        <f t="shared" si="6"/>
        <v>0</v>
      </c>
      <c r="K15" s="79">
        <f t="shared" si="6"/>
        <v>0</v>
      </c>
      <c r="L15" s="84" t="s">
        <v>250</v>
      </c>
    </row>
    <row r="16" spans="1:18" ht="29.4" thickBot="1" x14ac:dyDescent="0.35">
      <c r="A16" s="179" t="s">
        <v>197</v>
      </c>
      <c r="B16" s="81">
        <f t="shared" ref="B16:K16" si="7">B12-B15</f>
        <v>189366.69612903229</v>
      </c>
      <c r="C16" s="81">
        <f t="shared" si="7"/>
        <v>188590.09234408606</v>
      </c>
      <c r="D16" s="81">
        <f t="shared" si="7"/>
        <v>185283.81455913978</v>
      </c>
      <c r="E16" s="81">
        <f t="shared" si="7"/>
        <v>181574.67473118281</v>
      </c>
      <c r="F16" s="81">
        <f t="shared" si="7"/>
        <v>177488.79686021505</v>
      </c>
      <c r="G16" s="81">
        <f t="shared" si="7"/>
        <v>175880.34498924733</v>
      </c>
      <c r="H16" s="81">
        <f t="shared" si="7"/>
        <v>171164.50242075976</v>
      </c>
      <c r="I16" s="81">
        <f t="shared" si="7"/>
        <v>167292.80062524608</v>
      </c>
      <c r="J16" s="81">
        <f t="shared" si="7"/>
        <v>165927.80655856107</v>
      </c>
      <c r="K16" s="81">
        <f t="shared" si="7"/>
        <v>161944.42732838038</v>
      </c>
      <c r="L16" s="88" t="s">
        <v>265</v>
      </c>
      <c r="P16" s="58"/>
      <c r="Q16" s="58"/>
      <c r="R16" s="58"/>
    </row>
  </sheetData>
  <mergeCells count="4">
    <mergeCell ref="B1:L1"/>
    <mergeCell ref="N1:O1"/>
    <mergeCell ref="B13:J13"/>
    <mergeCell ref="L6:L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4.4" x14ac:dyDescent="0.3"/>
  <cols>
    <col min="1" max="1" width="40" customWidth="1"/>
    <col min="2" max="11" width="11.44140625" customWidth="1"/>
    <col min="12" max="12" width="49.33203125" customWidth="1"/>
    <col min="14" max="14" width="8.6640625" customWidth="1"/>
    <col min="15" max="15" width="34.109375" customWidth="1"/>
  </cols>
  <sheetData>
    <row r="1" spans="1:16" s="58" customFormat="1" ht="15.6" x14ac:dyDescent="0.3">
      <c r="A1" s="97" t="s">
        <v>184</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58.8" x14ac:dyDescent="0.35">
      <c r="A3" s="99" t="s">
        <v>166</v>
      </c>
      <c r="B3" s="61">
        <f>SUMIFS('Form 1.5a'!J:J, 'Form 1.5a'!$B:$B, "LADWP")*1000</f>
        <v>27023000</v>
      </c>
      <c r="C3" s="61">
        <f>SUMIFS('Form 1.5a'!K:K, 'Form 1.5a'!$B:$B, "LADWP")*1000</f>
        <v>27270000</v>
      </c>
      <c r="D3" s="61">
        <f>SUMIFS('Form 1.5a'!L:L, 'Form 1.5a'!$B:$B, "LADWP")*1000</f>
        <v>27491000</v>
      </c>
      <c r="E3" s="61">
        <f>SUMIFS('Form 1.5a'!M:M, 'Form 1.5a'!$B:$B, "LADWP")*1000</f>
        <v>27739000</v>
      </c>
      <c r="F3" s="61">
        <f>SUMIFS('Form 1.5a'!N:N, 'Form 1.5a'!$B:$B, "LADWP")*1000</f>
        <v>27982000</v>
      </c>
      <c r="G3" s="61">
        <f>SUMIFS('Form 1.5a'!O:O, 'Form 1.5a'!$B:$B, "LADWP")*1000</f>
        <v>28237000</v>
      </c>
      <c r="H3" s="65">
        <f>AVERAGE(E3:G3)*(1+$N$8)</f>
        <v>28123779.148357198</v>
      </c>
      <c r="I3" s="65">
        <f t="shared" ref="I3:K4" si="0">H3*(1+$N$8)</f>
        <v>28262236.60350072</v>
      </c>
      <c r="J3" s="65">
        <f t="shared" si="0"/>
        <v>28401375.70483353</v>
      </c>
      <c r="K3" s="65">
        <f t="shared" si="0"/>
        <v>28541199.808198955</v>
      </c>
      <c r="L3" s="84" t="s">
        <v>209</v>
      </c>
      <c r="N3" s="62">
        <v>0.91839999999999999</v>
      </c>
      <c r="O3" s="8" t="s">
        <v>199</v>
      </c>
    </row>
    <row r="4" spans="1:16" s="58" customFormat="1" ht="57.6" x14ac:dyDescent="0.3">
      <c r="A4" s="99" t="s">
        <v>167</v>
      </c>
      <c r="B4" s="61">
        <f>SUMIFS('Form 1.1c'!J:J, 'Form 1.1c'!$A:$A, "LADWP")*1000</f>
        <v>23827000</v>
      </c>
      <c r="C4" s="61">
        <f>SUMIFS('Form 1.1c'!K:K, 'Form 1.1c'!$A:$A, "LADWP")*1000</f>
        <v>24048000</v>
      </c>
      <c r="D4" s="61">
        <f>SUMIFS('Form 1.1c'!L:L, 'Form 1.1c'!$A:$A, "LADWP")*1000</f>
        <v>24246000</v>
      </c>
      <c r="E4" s="61">
        <f>SUMIFS('Form 1.1c'!M:M, 'Form 1.1c'!$A:$A, "LADWP")*1000</f>
        <v>24468000</v>
      </c>
      <c r="F4" s="61">
        <f>SUMIFS('Form 1.1c'!N:N, 'Form 1.1c'!$A:$A, "LADWP")*1000</f>
        <v>24685000</v>
      </c>
      <c r="G4" s="61">
        <f>SUMIFS('Form 1.1c'!O:O, 'Form 1.1c'!$A:$A, "LADWP")*1000</f>
        <v>24914000</v>
      </c>
      <c r="H4" s="65">
        <f>AVERAGE(E4:G4)*(1+$N$8)</f>
        <v>24810547.537832879</v>
      </c>
      <c r="I4" s="61">
        <f t="shared" si="0"/>
        <v>24932693.471872699</v>
      </c>
      <c r="J4" s="61">
        <f t="shared" si="0"/>
        <v>25055440.748111021</v>
      </c>
      <c r="K4" s="61">
        <f t="shared" si="0"/>
        <v>25178792.327042952</v>
      </c>
      <c r="L4" s="84" t="s">
        <v>211</v>
      </c>
      <c r="N4" s="68">
        <f>0.15</f>
        <v>0.15</v>
      </c>
      <c r="O4" s="84" t="s">
        <v>165</v>
      </c>
    </row>
    <row r="5" spans="1:16" s="58" customFormat="1" ht="28.8" x14ac:dyDescent="0.3">
      <c r="A5" s="99" t="s">
        <v>191</v>
      </c>
      <c r="B5" s="61">
        <f>IF(0&lt;(B3-B4)/B3,B4,B3*(1-$N$5))</f>
        <v>23827000</v>
      </c>
      <c r="C5" s="61">
        <f t="shared" ref="C5:K5" si="1">IF(0&lt;(C3-C4)/C3,C4,C3*(1-$N$5))</f>
        <v>24048000</v>
      </c>
      <c r="D5" s="61">
        <f t="shared" si="1"/>
        <v>24246000</v>
      </c>
      <c r="E5" s="61">
        <f t="shared" si="1"/>
        <v>24468000</v>
      </c>
      <c r="F5" s="61">
        <f t="shared" si="1"/>
        <v>24685000</v>
      </c>
      <c r="G5" s="61">
        <f t="shared" si="1"/>
        <v>24914000</v>
      </c>
      <c r="H5" s="61">
        <f t="shared" si="1"/>
        <v>24810547.537832879</v>
      </c>
      <c r="I5" s="61">
        <f t="shared" si="1"/>
        <v>24932693.471872699</v>
      </c>
      <c r="J5" s="61">
        <f t="shared" si="1"/>
        <v>25055440.748111021</v>
      </c>
      <c r="K5" s="61">
        <f t="shared" si="1"/>
        <v>25178792.327042952</v>
      </c>
      <c r="L5" s="84" t="s">
        <v>271</v>
      </c>
      <c r="N5" s="68">
        <f>0.07</f>
        <v>7.0000000000000007E-2</v>
      </c>
      <c r="O5" s="84" t="s">
        <v>275</v>
      </c>
    </row>
    <row r="6" spans="1:16" s="58" customFormat="1" ht="43.2" x14ac:dyDescent="0.3">
      <c r="A6" s="99" t="s">
        <v>168</v>
      </c>
      <c r="B6" s="61">
        <v>8118643</v>
      </c>
      <c r="C6" s="61">
        <v>7825882.0000000009</v>
      </c>
      <c r="D6" s="61">
        <v>7353868</v>
      </c>
      <c r="E6" s="61">
        <v>6895327.0000000009</v>
      </c>
      <c r="F6" s="61">
        <f>AVERAGE(C6:E6)</f>
        <v>7358359</v>
      </c>
      <c r="G6" s="61">
        <f>F6</f>
        <v>7358359</v>
      </c>
      <c r="H6" s="61">
        <f>G6/2</f>
        <v>3679179.5</v>
      </c>
      <c r="I6" s="61">
        <v>0</v>
      </c>
      <c r="J6" s="61">
        <v>0</v>
      </c>
      <c r="K6" s="61">
        <v>0</v>
      </c>
      <c r="L6" s="103" t="s">
        <v>233</v>
      </c>
      <c r="N6" s="63">
        <v>0.05</v>
      </c>
      <c r="O6" s="84" t="s">
        <v>200</v>
      </c>
    </row>
    <row r="7" spans="1:16" s="58" customFormat="1" ht="43.2" x14ac:dyDescent="0.3">
      <c r="A7" s="99" t="s">
        <v>169</v>
      </c>
      <c r="B7" s="61">
        <v>3059674</v>
      </c>
      <c r="C7" s="61">
        <v>3060862</v>
      </c>
      <c r="D7" s="61">
        <v>3059803</v>
      </c>
      <c r="E7" s="61">
        <v>3069115</v>
      </c>
      <c r="F7" s="61">
        <f>AVERAGE(C7:E7)</f>
        <v>3063260</v>
      </c>
      <c r="G7" s="61">
        <f>F7</f>
        <v>3063260</v>
      </c>
      <c r="H7" s="61">
        <f t="shared" ref="H7:K8" si="2">G7</f>
        <v>3063260</v>
      </c>
      <c r="I7" s="61">
        <f t="shared" si="2"/>
        <v>3063260</v>
      </c>
      <c r="J7" s="61">
        <f t="shared" si="2"/>
        <v>3063260</v>
      </c>
      <c r="K7" s="61">
        <f t="shared" si="2"/>
        <v>3063260</v>
      </c>
      <c r="L7" s="84" t="s">
        <v>234</v>
      </c>
      <c r="O7" s="101"/>
    </row>
    <row r="8" spans="1:16" s="58" customFormat="1" ht="28.8" x14ac:dyDescent="0.3">
      <c r="A8" s="99" t="s">
        <v>170</v>
      </c>
      <c r="B8" s="61">
        <v>1227002</v>
      </c>
      <c r="C8" s="61">
        <v>1227000.9999999998</v>
      </c>
      <c r="D8" s="61">
        <v>1227002</v>
      </c>
      <c r="E8" s="61">
        <v>1227000</v>
      </c>
      <c r="F8" s="61">
        <f>AVERAGE(C8:E8)</f>
        <v>1227001</v>
      </c>
      <c r="G8" s="61">
        <f>F8</f>
        <v>1227001</v>
      </c>
      <c r="H8" s="61">
        <f t="shared" si="2"/>
        <v>1227001</v>
      </c>
      <c r="I8" s="61">
        <f t="shared" si="2"/>
        <v>1227001</v>
      </c>
      <c r="J8" s="61">
        <f t="shared" si="2"/>
        <v>1227001</v>
      </c>
      <c r="K8" s="61">
        <f t="shared" si="2"/>
        <v>1227001</v>
      </c>
      <c r="L8" s="84" t="s">
        <v>230</v>
      </c>
      <c r="N8" s="64">
        <v>4.9231454426212906E-3</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7148100</v>
      </c>
      <c r="C10" s="61">
        <f t="shared" ref="C10:K10" si="3">C5*C9</f>
        <v>7454880</v>
      </c>
      <c r="D10" s="61">
        <f t="shared" si="3"/>
        <v>8001180</v>
      </c>
      <c r="E10" s="61">
        <f t="shared" si="3"/>
        <v>8563800</v>
      </c>
      <c r="F10" s="61">
        <f t="shared" si="3"/>
        <v>9133450</v>
      </c>
      <c r="G10" s="61">
        <f t="shared" si="3"/>
        <v>9467320</v>
      </c>
      <c r="H10" s="61">
        <f t="shared" si="3"/>
        <v>9924219.0151331518</v>
      </c>
      <c r="I10" s="61">
        <f t="shared" si="3"/>
        <v>10471731.258186532</v>
      </c>
      <c r="J10" s="61">
        <f t="shared" si="3"/>
        <v>10773839.521687739</v>
      </c>
      <c r="K10" s="61">
        <f t="shared" si="3"/>
        <v>11330456.54716933</v>
      </c>
      <c r="L10" s="84" t="s">
        <v>376</v>
      </c>
      <c r="N10" s="122"/>
      <c r="O10" s="60"/>
    </row>
    <row r="11" spans="1:16" s="58" customFormat="1" ht="28.8" x14ac:dyDescent="0.3">
      <c r="A11" s="99" t="s">
        <v>172</v>
      </c>
      <c r="B11" s="61">
        <f t="shared" ref="B11:K11" si="4">MAX(B3-SUM(B6:B8,B10), B3*$N$6)</f>
        <v>7469581</v>
      </c>
      <c r="C11" s="61">
        <f t="shared" si="4"/>
        <v>7701375</v>
      </c>
      <c r="D11" s="61">
        <f t="shared" si="4"/>
        <v>7849147</v>
      </c>
      <c r="E11" s="61">
        <f t="shared" si="4"/>
        <v>7983758</v>
      </c>
      <c r="F11" s="61">
        <f t="shared" si="4"/>
        <v>7199930</v>
      </c>
      <c r="G11" s="61">
        <f t="shared" si="4"/>
        <v>7121060</v>
      </c>
      <c r="H11" s="61">
        <f t="shared" si="4"/>
        <v>10230119.633224048</v>
      </c>
      <c r="I11" s="61">
        <f t="shared" si="4"/>
        <v>13500244.345314188</v>
      </c>
      <c r="J11" s="61">
        <f t="shared" si="4"/>
        <v>13337275.183145791</v>
      </c>
      <c r="K11" s="61">
        <f t="shared" si="4"/>
        <v>12920482.261029625</v>
      </c>
      <c r="L11" s="84" t="s">
        <v>203</v>
      </c>
    </row>
    <row r="12" spans="1:16" s="58" customFormat="1" ht="43.8" x14ac:dyDescent="0.35">
      <c r="A12" s="99" t="s">
        <v>194</v>
      </c>
      <c r="B12" s="61">
        <f t="shared" ref="B12:K12" si="5">B6*$N$3+B11*$N$2</f>
        <v>10708417.298599999</v>
      </c>
      <c r="C12" s="61">
        <f t="shared" si="5"/>
        <v>10540468.7038</v>
      </c>
      <c r="D12" s="61">
        <f t="shared" si="5"/>
        <v>10171310.975</v>
      </c>
      <c r="E12" s="61">
        <f t="shared" si="5"/>
        <v>9808796.5500000007</v>
      </c>
      <c r="F12" s="61">
        <f t="shared" si="5"/>
        <v>9892766.4276000001</v>
      </c>
      <c r="G12" s="61">
        <f t="shared" si="5"/>
        <v>9858426.4296000004</v>
      </c>
      <c r="H12" s="61">
        <f t="shared" si="5"/>
        <v>7833152.5411057509</v>
      </c>
      <c r="I12" s="61">
        <f t="shared" si="5"/>
        <v>5878006.3879497973</v>
      </c>
      <c r="J12" s="61">
        <f t="shared" si="5"/>
        <v>5807049.6147416774</v>
      </c>
      <c r="K12" s="61">
        <f t="shared" si="5"/>
        <v>5625577.9764522994</v>
      </c>
      <c r="L12" s="102" t="s">
        <v>204</v>
      </c>
    </row>
    <row r="13" spans="1:16" s="58" customFormat="1" ht="72" x14ac:dyDescent="0.3">
      <c r="A13" s="99"/>
      <c r="B13" s="204" t="s">
        <v>205</v>
      </c>
      <c r="C13" s="205"/>
      <c r="D13" s="205"/>
      <c r="E13" s="205"/>
      <c r="F13" s="205"/>
      <c r="G13" s="205"/>
      <c r="H13" s="205"/>
      <c r="I13" s="205"/>
      <c r="J13" s="206"/>
      <c r="K13" s="177">
        <v>676729.28666666662</v>
      </c>
      <c r="L13" s="102" t="s">
        <v>368</v>
      </c>
    </row>
    <row r="14" spans="1:16" s="58" customFormat="1" ht="15.6" x14ac:dyDescent="0.35">
      <c r="A14" s="99" t="s">
        <v>195</v>
      </c>
      <c r="B14" s="80">
        <f t="shared" ref="B14:K14" si="6">B12/B3</f>
        <v>0.39627048435036816</v>
      </c>
      <c r="C14" s="80">
        <f t="shared" si="6"/>
        <v>0.38652250472313898</v>
      </c>
      <c r="D14" s="80">
        <f t="shared" si="6"/>
        <v>0.36998694027136153</v>
      </c>
      <c r="E14" s="80">
        <f t="shared" si="6"/>
        <v>0.353610315800858</v>
      </c>
      <c r="F14" s="80">
        <f t="shared" si="6"/>
        <v>0.35354036264741617</v>
      </c>
      <c r="G14" s="80">
        <f t="shared" si="6"/>
        <v>0.3491315093529766</v>
      </c>
      <c r="H14" s="80">
        <f t="shared" si="6"/>
        <v>0.2785241805443246</v>
      </c>
      <c r="I14" s="80">
        <f t="shared" si="6"/>
        <v>0.20798093478637547</v>
      </c>
      <c r="J14" s="80">
        <f t="shared" si="6"/>
        <v>0.20446367369991153</v>
      </c>
      <c r="K14" s="80">
        <f t="shared" si="6"/>
        <v>0.19710376628372345</v>
      </c>
      <c r="L14" s="84" t="s">
        <v>206</v>
      </c>
    </row>
    <row r="15" spans="1:16" s="58" customFormat="1" ht="30" thickBot="1" x14ac:dyDescent="0.4">
      <c r="A15" s="99" t="s">
        <v>196</v>
      </c>
      <c r="B15" s="79">
        <f>$K$13*B14</f>
        <v>268167.84220147913</v>
      </c>
      <c r="C15" s="79">
        <f t="shared" ref="C15:K15" si="7">$K$13*C14</f>
        <v>261571.09890190311</v>
      </c>
      <c r="D15" s="79">
        <f t="shared" si="7"/>
        <v>250380.99816582107</v>
      </c>
      <c r="E15" s="79">
        <f t="shared" si="7"/>
        <v>239298.45676988934</v>
      </c>
      <c r="F15" s="79">
        <f t="shared" si="7"/>
        <v>239251.11742226058</v>
      </c>
      <c r="G15" s="79">
        <f t="shared" si="7"/>
        <v>236267.51727729649</v>
      </c>
      <c r="H15" s="79">
        <f t="shared" si="7"/>
        <v>188485.47001917864</v>
      </c>
      <c r="I15" s="79">
        <f t="shared" si="7"/>
        <v>140746.7896382504</v>
      </c>
      <c r="J15" s="79">
        <f t="shared" si="7"/>
        <v>138366.55605218722</v>
      </c>
      <c r="K15" s="79">
        <f t="shared" si="7"/>
        <v>133385.89115649756</v>
      </c>
      <c r="L15" s="84" t="s">
        <v>250</v>
      </c>
      <c r="N15"/>
      <c r="O15"/>
    </row>
    <row r="16" spans="1:16" ht="29.4" thickBot="1" x14ac:dyDescent="0.35">
      <c r="A16" s="179" t="s">
        <v>197</v>
      </c>
      <c r="B16" s="81">
        <f t="shared" ref="B16:K16" si="8">B12-B15</f>
        <v>10440249.456398521</v>
      </c>
      <c r="C16" s="81">
        <f t="shared" si="8"/>
        <v>10278897.604898097</v>
      </c>
      <c r="D16" s="81">
        <f t="shared" si="8"/>
        <v>9920929.976834178</v>
      </c>
      <c r="E16" s="81">
        <f t="shared" si="8"/>
        <v>9569498.0932301115</v>
      </c>
      <c r="F16" s="81">
        <f t="shared" si="8"/>
        <v>9653515.3101777397</v>
      </c>
      <c r="G16" s="81">
        <f t="shared" si="8"/>
        <v>9622158.9123227037</v>
      </c>
      <c r="H16" s="81">
        <f t="shared" si="8"/>
        <v>7644667.0710865725</v>
      </c>
      <c r="I16" s="81">
        <f t="shared" si="8"/>
        <v>5737259.5983115472</v>
      </c>
      <c r="J16" s="81">
        <f t="shared" si="8"/>
        <v>5668683.05868949</v>
      </c>
      <c r="K16" s="81">
        <f t="shared" si="8"/>
        <v>5492192.085295802</v>
      </c>
      <c r="L16" s="88" t="s">
        <v>265</v>
      </c>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82"/>
      <c r="J18" s="82"/>
      <c r="K18" s="82"/>
      <c r="O18" s="4"/>
    </row>
  </sheetData>
  <mergeCells count="3">
    <mergeCell ref="B1:L1"/>
    <mergeCell ref="N1:O1"/>
    <mergeCell ref="B13:J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zoomScale="80" zoomScaleNormal="80" workbookViewId="0"/>
  </sheetViews>
  <sheetFormatPr defaultRowHeight="14.4" x14ac:dyDescent="0.3"/>
  <cols>
    <col min="1" max="1" width="28.44140625" customWidth="1"/>
    <col min="2" max="2" width="62.44140625" customWidth="1"/>
    <col min="3" max="12" width="10.109375" customWidth="1"/>
    <col min="13" max="13" width="10.88671875" customWidth="1"/>
    <col min="14" max="15" width="9.5546875" bestFit="1" customWidth="1"/>
    <col min="16" max="16" width="11" customWidth="1"/>
    <col min="17" max="17" width="11.33203125" style="20" bestFit="1" customWidth="1"/>
    <col min="18" max="254" width="8.88671875" style="20"/>
    <col min="255" max="255" width="45.88671875" style="20" customWidth="1"/>
    <col min="256" max="268" width="10.109375" style="20" customWidth="1"/>
    <col min="269" max="269" width="10.88671875" style="20" customWidth="1"/>
    <col min="270" max="510" width="8.88671875" style="20"/>
    <col min="511" max="511" width="45.88671875" style="20" customWidth="1"/>
    <col min="512" max="524" width="10.109375" style="20" customWidth="1"/>
    <col min="525" max="525" width="10.88671875" style="20" customWidth="1"/>
    <col min="526" max="766" width="8.88671875" style="20"/>
    <col min="767" max="767" width="45.88671875" style="20" customWidth="1"/>
    <col min="768" max="780" width="10.109375" style="20" customWidth="1"/>
    <col min="781" max="781" width="10.88671875" style="20" customWidth="1"/>
    <col min="782" max="1022" width="8.88671875" style="20"/>
    <col min="1023" max="1023" width="45.88671875" style="20" customWidth="1"/>
    <col min="1024" max="1036" width="10.109375" style="20" customWidth="1"/>
    <col min="1037" max="1037" width="10.88671875" style="20" customWidth="1"/>
    <col min="1038" max="1278" width="8.88671875" style="20"/>
    <col min="1279" max="1279" width="45.88671875" style="20" customWidth="1"/>
    <col min="1280" max="1292" width="10.109375" style="20" customWidth="1"/>
    <col min="1293" max="1293" width="10.88671875" style="20" customWidth="1"/>
    <col min="1294" max="1534" width="8.88671875" style="20"/>
    <col min="1535" max="1535" width="45.88671875" style="20" customWidth="1"/>
    <col min="1536" max="1548" width="10.109375" style="20" customWidth="1"/>
    <col min="1549" max="1549" width="10.88671875" style="20" customWidth="1"/>
    <col min="1550" max="1790" width="8.88671875" style="20"/>
    <col min="1791" max="1791" width="45.88671875" style="20" customWidth="1"/>
    <col min="1792" max="1804" width="10.109375" style="20" customWidth="1"/>
    <col min="1805" max="1805" width="10.88671875" style="20" customWidth="1"/>
    <col min="1806" max="2046" width="8.88671875" style="20"/>
    <col min="2047" max="2047" width="45.88671875" style="20" customWidth="1"/>
    <col min="2048" max="2060" width="10.109375" style="20" customWidth="1"/>
    <col min="2061" max="2061" width="10.88671875" style="20" customWidth="1"/>
    <col min="2062" max="2302" width="8.88671875" style="20"/>
    <col min="2303" max="2303" width="45.88671875" style="20" customWidth="1"/>
    <col min="2304" max="2316" width="10.109375" style="20" customWidth="1"/>
    <col min="2317" max="2317" width="10.88671875" style="20" customWidth="1"/>
    <col min="2318" max="2558" width="8.88671875" style="20"/>
    <col min="2559" max="2559" width="45.88671875" style="20" customWidth="1"/>
    <col min="2560" max="2572" width="10.109375" style="20" customWidth="1"/>
    <col min="2573" max="2573" width="10.88671875" style="20" customWidth="1"/>
    <col min="2574" max="2814" width="8.88671875" style="20"/>
    <col min="2815" max="2815" width="45.88671875" style="20" customWidth="1"/>
    <col min="2816" max="2828" width="10.109375" style="20" customWidth="1"/>
    <col min="2829" max="2829" width="10.88671875" style="20" customWidth="1"/>
    <col min="2830" max="3070" width="8.88671875" style="20"/>
    <col min="3071" max="3071" width="45.88671875" style="20" customWidth="1"/>
    <col min="3072" max="3084" width="10.109375" style="20" customWidth="1"/>
    <col min="3085" max="3085" width="10.88671875" style="20" customWidth="1"/>
    <col min="3086" max="3326" width="8.88671875" style="20"/>
    <col min="3327" max="3327" width="45.88671875" style="20" customWidth="1"/>
    <col min="3328" max="3340" width="10.109375" style="20" customWidth="1"/>
    <col min="3341" max="3341" width="10.88671875" style="20" customWidth="1"/>
    <col min="3342" max="3582" width="8.88671875" style="20"/>
    <col min="3583" max="3583" width="45.88671875" style="20" customWidth="1"/>
    <col min="3584" max="3596" width="10.109375" style="20" customWidth="1"/>
    <col min="3597" max="3597" width="10.88671875" style="20" customWidth="1"/>
    <col min="3598" max="3838" width="8.88671875" style="20"/>
    <col min="3839" max="3839" width="45.88671875" style="20" customWidth="1"/>
    <col min="3840" max="3852" width="10.109375" style="20" customWidth="1"/>
    <col min="3853" max="3853" width="10.88671875" style="20" customWidth="1"/>
    <col min="3854" max="4094" width="8.88671875" style="20"/>
    <col min="4095" max="4095" width="45.88671875" style="20" customWidth="1"/>
    <col min="4096" max="4108" width="10.109375" style="20" customWidth="1"/>
    <col min="4109" max="4109" width="10.88671875" style="20" customWidth="1"/>
    <col min="4110" max="4350" width="8.88671875" style="20"/>
    <col min="4351" max="4351" width="45.88671875" style="20" customWidth="1"/>
    <col min="4352" max="4364" width="10.109375" style="20" customWidth="1"/>
    <col min="4365" max="4365" width="10.88671875" style="20" customWidth="1"/>
    <col min="4366" max="4606" width="8.88671875" style="20"/>
    <col min="4607" max="4607" width="45.88671875" style="20" customWidth="1"/>
    <col min="4608" max="4620" width="10.109375" style="20" customWidth="1"/>
    <col min="4621" max="4621" width="10.88671875" style="20" customWidth="1"/>
    <col min="4622" max="4862" width="8.88671875" style="20"/>
    <col min="4863" max="4863" width="45.88671875" style="20" customWidth="1"/>
    <col min="4864" max="4876" width="10.109375" style="20" customWidth="1"/>
    <col min="4877" max="4877" width="10.88671875" style="20" customWidth="1"/>
    <col min="4878" max="5118" width="8.88671875" style="20"/>
    <col min="5119" max="5119" width="45.88671875" style="20" customWidth="1"/>
    <col min="5120" max="5132" width="10.109375" style="20" customWidth="1"/>
    <col min="5133" max="5133" width="10.88671875" style="20" customWidth="1"/>
    <col min="5134" max="5374" width="8.88671875" style="20"/>
    <col min="5375" max="5375" width="45.88671875" style="20" customWidth="1"/>
    <col min="5376" max="5388" width="10.109375" style="20" customWidth="1"/>
    <col min="5389" max="5389" width="10.88671875" style="20" customWidth="1"/>
    <col min="5390" max="5630" width="8.88671875" style="20"/>
    <col min="5631" max="5631" width="45.88671875" style="20" customWidth="1"/>
    <col min="5632" max="5644" width="10.109375" style="20" customWidth="1"/>
    <col min="5645" max="5645" width="10.88671875" style="20" customWidth="1"/>
    <col min="5646" max="5886" width="8.88671875" style="20"/>
    <col min="5887" max="5887" width="45.88671875" style="20" customWidth="1"/>
    <col min="5888" max="5900" width="10.109375" style="20" customWidth="1"/>
    <col min="5901" max="5901" width="10.88671875" style="20" customWidth="1"/>
    <col min="5902" max="6142" width="8.88671875" style="20"/>
    <col min="6143" max="6143" width="45.88671875" style="20" customWidth="1"/>
    <col min="6144" max="6156" width="10.109375" style="20" customWidth="1"/>
    <col min="6157" max="6157" width="10.88671875" style="20" customWidth="1"/>
    <col min="6158" max="6398" width="8.88671875" style="20"/>
    <col min="6399" max="6399" width="45.88671875" style="20" customWidth="1"/>
    <col min="6400" max="6412" width="10.109375" style="20" customWidth="1"/>
    <col min="6413" max="6413" width="10.88671875" style="20" customWidth="1"/>
    <col min="6414" max="6654" width="8.88671875" style="20"/>
    <col min="6655" max="6655" width="45.88671875" style="20" customWidth="1"/>
    <col min="6656" max="6668" width="10.109375" style="20" customWidth="1"/>
    <col min="6669" max="6669" width="10.88671875" style="20" customWidth="1"/>
    <col min="6670" max="6910" width="8.88671875" style="20"/>
    <col min="6911" max="6911" width="45.88671875" style="20" customWidth="1"/>
    <col min="6912" max="6924" width="10.109375" style="20" customWidth="1"/>
    <col min="6925" max="6925" width="10.88671875" style="20" customWidth="1"/>
    <col min="6926" max="7166" width="8.88671875" style="20"/>
    <col min="7167" max="7167" width="45.88671875" style="20" customWidth="1"/>
    <col min="7168" max="7180" width="10.109375" style="20" customWidth="1"/>
    <col min="7181" max="7181" width="10.88671875" style="20" customWidth="1"/>
    <col min="7182" max="7422" width="8.88671875" style="20"/>
    <col min="7423" max="7423" width="45.88671875" style="20" customWidth="1"/>
    <col min="7424" max="7436" width="10.109375" style="20" customWidth="1"/>
    <col min="7437" max="7437" width="10.88671875" style="20" customWidth="1"/>
    <col min="7438" max="7678" width="8.88671875" style="20"/>
    <col min="7679" max="7679" width="45.88671875" style="20" customWidth="1"/>
    <col min="7680" max="7692" width="10.109375" style="20" customWidth="1"/>
    <col min="7693" max="7693" width="10.88671875" style="20" customWidth="1"/>
    <col min="7694" max="7934" width="8.88671875" style="20"/>
    <col min="7935" max="7935" width="45.88671875" style="20" customWidth="1"/>
    <col min="7936" max="7948" width="10.109375" style="20" customWidth="1"/>
    <col min="7949" max="7949" width="10.88671875" style="20" customWidth="1"/>
    <col min="7950" max="8190" width="8.88671875" style="20"/>
    <col min="8191" max="8191" width="45.88671875" style="20" customWidth="1"/>
    <col min="8192" max="8204" width="10.109375" style="20" customWidth="1"/>
    <col min="8205" max="8205" width="10.88671875" style="20" customWidth="1"/>
    <col min="8206" max="8446" width="8.88671875" style="20"/>
    <col min="8447" max="8447" width="45.88671875" style="20" customWidth="1"/>
    <col min="8448" max="8460" width="10.109375" style="20" customWidth="1"/>
    <col min="8461" max="8461" width="10.88671875" style="20" customWidth="1"/>
    <col min="8462" max="8702" width="8.88671875" style="20"/>
    <col min="8703" max="8703" width="45.88671875" style="20" customWidth="1"/>
    <col min="8704" max="8716" width="10.109375" style="20" customWidth="1"/>
    <col min="8717" max="8717" width="10.88671875" style="20" customWidth="1"/>
    <col min="8718" max="8958" width="8.88671875" style="20"/>
    <col min="8959" max="8959" width="45.88671875" style="20" customWidth="1"/>
    <col min="8960" max="8972" width="10.109375" style="20" customWidth="1"/>
    <col min="8973" max="8973" width="10.88671875" style="20" customWidth="1"/>
    <col min="8974" max="9214" width="8.88671875" style="20"/>
    <col min="9215" max="9215" width="45.88671875" style="20" customWidth="1"/>
    <col min="9216" max="9228" width="10.109375" style="20" customWidth="1"/>
    <col min="9229" max="9229" width="10.88671875" style="20" customWidth="1"/>
    <col min="9230" max="9470" width="8.88671875" style="20"/>
    <col min="9471" max="9471" width="45.88671875" style="20" customWidth="1"/>
    <col min="9472" max="9484" width="10.109375" style="20" customWidth="1"/>
    <col min="9485" max="9485" width="10.88671875" style="20" customWidth="1"/>
    <col min="9486" max="9726" width="8.88671875" style="20"/>
    <col min="9727" max="9727" width="45.88671875" style="20" customWidth="1"/>
    <col min="9728" max="9740" width="10.109375" style="20" customWidth="1"/>
    <col min="9741" max="9741" width="10.88671875" style="20" customWidth="1"/>
    <col min="9742" max="9982" width="8.88671875" style="20"/>
    <col min="9983" max="9983" width="45.88671875" style="20" customWidth="1"/>
    <col min="9984" max="9996" width="10.109375" style="20" customWidth="1"/>
    <col min="9997" max="9997" width="10.88671875" style="20" customWidth="1"/>
    <col min="9998" max="10238" width="8.88671875" style="20"/>
    <col min="10239" max="10239" width="45.88671875" style="20" customWidth="1"/>
    <col min="10240" max="10252" width="10.109375" style="20" customWidth="1"/>
    <col min="10253" max="10253" width="10.88671875" style="20" customWidth="1"/>
    <col min="10254" max="10494" width="8.88671875" style="20"/>
    <col min="10495" max="10495" width="45.88671875" style="20" customWidth="1"/>
    <col min="10496" max="10508" width="10.109375" style="20" customWidth="1"/>
    <col min="10509" max="10509" width="10.88671875" style="20" customWidth="1"/>
    <col min="10510" max="10750" width="8.88671875" style="20"/>
    <col min="10751" max="10751" width="45.88671875" style="20" customWidth="1"/>
    <col min="10752" max="10764" width="10.109375" style="20" customWidth="1"/>
    <col min="10765" max="10765" width="10.88671875" style="20" customWidth="1"/>
    <col min="10766" max="11006" width="8.88671875" style="20"/>
    <col min="11007" max="11007" width="45.88671875" style="20" customWidth="1"/>
    <col min="11008" max="11020" width="10.109375" style="20" customWidth="1"/>
    <col min="11021" max="11021" width="10.88671875" style="20" customWidth="1"/>
    <col min="11022" max="11262" width="8.88671875" style="20"/>
    <col min="11263" max="11263" width="45.88671875" style="20" customWidth="1"/>
    <col min="11264" max="11276" width="10.109375" style="20" customWidth="1"/>
    <col min="11277" max="11277" width="10.88671875" style="20" customWidth="1"/>
    <col min="11278" max="11518" width="8.88671875" style="20"/>
    <col min="11519" max="11519" width="45.88671875" style="20" customWidth="1"/>
    <col min="11520" max="11532" width="10.109375" style="20" customWidth="1"/>
    <col min="11533" max="11533" width="10.88671875" style="20" customWidth="1"/>
    <col min="11534" max="11774" width="8.88671875" style="20"/>
    <col min="11775" max="11775" width="45.88671875" style="20" customWidth="1"/>
    <col min="11776" max="11788" width="10.109375" style="20" customWidth="1"/>
    <col min="11789" max="11789" width="10.88671875" style="20" customWidth="1"/>
    <col min="11790" max="12030" width="8.88671875" style="20"/>
    <col min="12031" max="12031" width="45.88671875" style="20" customWidth="1"/>
    <col min="12032" max="12044" width="10.109375" style="20" customWidth="1"/>
    <col min="12045" max="12045" width="10.88671875" style="20" customWidth="1"/>
    <col min="12046" max="12286" width="8.88671875" style="20"/>
    <col min="12287" max="12287" width="45.88671875" style="20" customWidth="1"/>
    <col min="12288" max="12300" width="10.109375" style="20" customWidth="1"/>
    <col min="12301" max="12301" width="10.88671875" style="20" customWidth="1"/>
    <col min="12302" max="12542" width="8.88671875" style="20"/>
    <col min="12543" max="12543" width="45.88671875" style="20" customWidth="1"/>
    <col min="12544" max="12556" width="10.109375" style="20" customWidth="1"/>
    <col min="12557" max="12557" width="10.88671875" style="20" customWidth="1"/>
    <col min="12558" max="12798" width="8.88671875" style="20"/>
    <col min="12799" max="12799" width="45.88671875" style="20" customWidth="1"/>
    <col min="12800" max="12812" width="10.109375" style="20" customWidth="1"/>
    <col min="12813" max="12813" width="10.88671875" style="20" customWidth="1"/>
    <col min="12814" max="13054" width="8.88671875" style="20"/>
    <col min="13055" max="13055" width="45.88671875" style="20" customWidth="1"/>
    <col min="13056" max="13068" width="10.109375" style="20" customWidth="1"/>
    <col min="13069" max="13069" width="10.88671875" style="20" customWidth="1"/>
    <col min="13070" max="13310" width="8.88671875" style="20"/>
    <col min="13311" max="13311" width="45.88671875" style="20" customWidth="1"/>
    <col min="13312" max="13324" width="10.109375" style="20" customWidth="1"/>
    <col min="13325" max="13325" width="10.88671875" style="20" customWidth="1"/>
    <col min="13326" max="13566" width="8.88671875" style="20"/>
    <col min="13567" max="13567" width="45.88671875" style="20" customWidth="1"/>
    <col min="13568" max="13580" width="10.109375" style="20" customWidth="1"/>
    <col min="13581" max="13581" width="10.88671875" style="20" customWidth="1"/>
    <col min="13582" max="13822" width="8.88671875" style="20"/>
    <col min="13823" max="13823" width="45.88671875" style="20" customWidth="1"/>
    <col min="13824" max="13836" width="10.109375" style="20" customWidth="1"/>
    <col min="13837" max="13837" width="10.88671875" style="20" customWidth="1"/>
    <col min="13838" max="14078" width="8.88671875" style="20"/>
    <col min="14079" max="14079" width="45.88671875" style="20" customWidth="1"/>
    <col min="14080" max="14092" width="10.109375" style="20" customWidth="1"/>
    <col min="14093" max="14093" width="10.88671875" style="20" customWidth="1"/>
    <col min="14094" max="14334" width="8.88671875" style="20"/>
    <col min="14335" max="14335" width="45.88671875" style="20" customWidth="1"/>
    <col min="14336" max="14348" width="10.109375" style="20" customWidth="1"/>
    <col min="14349" max="14349" width="10.88671875" style="20" customWidth="1"/>
    <col min="14350" max="14590" width="8.88671875" style="20"/>
    <col min="14591" max="14591" width="45.88671875" style="20" customWidth="1"/>
    <col min="14592" max="14604" width="10.109375" style="20" customWidth="1"/>
    <col min="14605" max="14605" width="10.88671875" style="20" customWidth="1"/>
    <col min="14606" max="14846" width="8.88671875" style="20"/>
    <col min="14847" max="14847" width="45.88671875" style="20" customWidth="1"/>
    <col min="14848" max="14860" width="10.109375" style="20" customWidth="1"/>
    <col min="14861" max="14861" width="10.88671875" style="20" customWidth="1"/>
    <col min="14862" max="15102" width="8.88671875" style="20"/>
    <col min="15103" max="15103" width="45.88671875" style="20" customWidth="1"/>
    <col min="15104" max="15116" width="10.109375" style="20" customWidth="1"/>
    <col min="15117" max="15117" width="10.88671875" style="20" customWidth="1"/>
    <col min="15118" max="15358" width="8.88671875" style="20"/>
    <col min="15359" max="15359" width="45.88671875" style="20" customWidth="1"/>
    <col min="15360" max="15372" width="10.109375" style="20" customWidth="1"/>
    <col min="15373" max="15373" width="10.88671875" style="20" customWidth="1"/>
    <col min="15374" max="15614" width="8.88671875" style="20"/>
    <col min="15615" max="15615" width="45.88671875" style="20" customWidth="1"/>
    <col min="15616" max="15628" width="10.109375" style="20" customWidth="1"/>
    <col min="15629" max="15629" width="10.88671875" style="20" customWidth="1"/>
    <col min="15630" max="15870" width="8.88671875" style="20"/>
    <col min="15871" max="15871" width="45.88671875" style="20" customWidth="1"/>
    <col min="15872" max="15884" width="10.109375" style="20" customWidth="1"/>
    <col min="15885" max="15885" width="10.88671875" style="20" customWidth="1"/>
    <col min="15886" max="16126" width="8.88671875" style="20"/>
    <col min="16127" max="16127" width="45.88671875" style="20" customWidth="1"/>
    <col min="16128" max="16140" width="10.109375" style="20" customWidth="1"/>
    <col min="16141" max="16141" width="10.88671875" style="20" customWidth="1"/>
    <col min="16142" max="16384" width="8.88671875" style="20"/>
  </cols>
  <sheetData>
    <row r="1" spans="1:18" s="12" customFormat="1" ht="15.6" x14ac:dyDescent="0.3">
      <c r="A1" s="9" t="s">
        <v>36</v>
      </c>
      <c r="B1" s="9"/>
      <c r="C1" s="10"/>
      <c r="D1" s="9"/>
      <c r="E1" s="9"/>
      <c r="F1" s="9"/>
      <c r="G1" s="9"/>
      <c r="H1" s="11"/>
      <c r="I1" s="9"/>
      <c r="J1" s="9"/>
      <c r="K1" s="9"/>
      <c r="L1" s="9"/>
      <c r="M1" s="9"/>
      <c r="N1" s="9"/>
      <c r="O1" s="9"/>
      <c r="P1" s="9"/>
      <c r="R1" s="16"/>
    </row>
    <row r="2" spans="1:18" s="12" customFormat="1" ht="15.6" x14ac:dyDescent="0.3">
      <c r="A2" s="13" t="s">
        <v>156</v>
      </c>
      <c r="B2" s="13"/>
      <c r="C2" s="13"/>
      <c r="D2" s="13"/>
      <c r="E2" s="13"/>
      <c r="F2" s="13"/>
      <c r="G2" s="13"/>
      <c r="H2" s="11"/>
      <c r="I2" s="13"/>
      <c r="J2" s="13"/>
      <c r="K2" s="9"/>
      <c r="L2" s="9"/>
      <c r="M2" s="9"/>
      <c r="N2" s="9"/>
      <c r="O2" s="9"/>
      <c r="P2" s="9"/>
      <c r="R2" s="16"/>
    </row>
    <row r="3" spans="1:18" s="12" customFormat="1" ht="15.6" x14ac:dyDescent="0.3">
      <c r="A3" s="14" t="s">
        <v>37</v>
      </c>
      <c r="B3" s="14"/>
      <c r="C3" s="14"/>
      <c r="D3" s="14"/>
      <c r="E3" s="14"/>
      <c r="F3" s="14"/>
      <c r="G3" s="14"/>
      <c r="H3" s="11"/>
      <c r="I3" s="9"/>
      <c r="J3" s="9"/>
      <c r="K3" s="9"/>
      <c r="L3" s="9"/>
      <c r="M3" s="9"/>
      <c r="N3" s="9"/>
      <c r="O3" s="9"/>
      <c r="P3" s="9"/>
      <c r="R3" s="16"/>
    </row>
    <row r="4" spans="1:18" s="16" customFormat="1" ht="15" x14ac:dyDescent="0.3">
      <c r="B4" s="118"/>
      <c r="C4" s="118"/>
      <c r="D4" s="118"/>
      <c r="E4" s="119" t="s">
        <v>249</v>
      </c>
      <c r="F4" s="118"/>
      <c r="G4" s="118"/>
      <c r="H4" s="118"/>
      <c r="I4" s="118"/>
      <c r="J4" s="118"/>
      <c r="K4" s="118"/>
      <c r="L4" s="118"/>
      <c r="M4" s="118"/>
      <c r="N4" s="118"/>
      <c r="O4" s="118"/>
      <c r="P4" s="118"/>
    </row>
    <row r="5" spans="1:18" s="16" customFormat="1" ht="15" x14ac:dyDescent="0.3">
      <c r="A5" s="15"/>
      <c r="B5" s="15"/>
      <c r="C5" s="15"/>
      <c r="D5" s="15"/>
      <c r="E5" s="15"/>
      <c r="F5" s="15"/>
      <c r="G5" s="11"/>
      <c r="H5" s="15"/>
      <c r="I5" s="15"/>
      <c r="J5" s="15"/>
      <c r="K5" s="15"/>
      <c r="L5" s="15"/>
      <c r="M5" s="15"/>
    </row>
    <row r="6" spans="1:18" ht="66.75" customHeight="1" x14ac:dyDescent="0.25">
      <c r="A6" s="17" t="s">
        <v>38</v>
      </c>
      <c r="B6" s="18" t="s">
        <v>39</v>
      </c>
      <c r="C6" s="19">
        <v>2014</v>
      </c>
      <c r="D6" s="19">
        <v>2015</v>
      </c>
      <c r="E6" s="19">
        <v>2016</v>
      </c>
      <c r="F6" s="19">
        <v>2017</v>
      </c>
      <c r="G6" s="19">
        <v>2018</v>
      </c>
      <c r="H6" s="19">
        <v>2019</v>
      </c>
      <c r="I6" s="19">
        <v>2020</v>
      </c>
      <c r="J6" s="19">
        <v>2021</v>
      </c>
      <c r="K6" s="19">
        <v>2022</v>
      </c>
      <c r="L6" s="19">
        <v>2023</v>
      </c>
      <c r="M6" s="19">
        <v>2024</v>
      </c>
      <c r="N6" s="19">
        <v>2025</v>
      </c>
      <c r="O6" s="19">
        <v>2026</v>
      </c>
      <c r="P6" s="72" t="s">
        <v>40</v>
      </c>
      <c r="Q6" s="67" t="s">
        <v>155</v>
      </c>
    </row>
    <row r="7" spans="1:18" ht="13.2" x14ac:dyDescent="0.25">
      <c r="A7" s="21" t="s">
        <v>41</v>
      </c>
      <c r="B7" s="21" t="s">
        <v>42</v>
      </c>
      <c r="C7" s="22">
        <v>32</v>
      </c>
      <c r="D7" s="22">
        <v>32</v>
      </c>
      <c r="E7" s="22">
        <v>32</v>
      </c>
      <c r="F7" s="22">
        <v>32</v>
      </c>
      <c r="G7" s="22">
        <v>32</v>
      </c>
      <c r="H7" s="22">
        <v>33</v>
      </c>
      <c r="I7" s="22">
        <v>33</v>
      </c>
      <c r="J7" s="22">
        <v>33</v>
      </c>
      <c r="K7" s="22">
        <v>33</v>
      </c>
      <c r="L7" s="22">
        <v>33</v>
      </c>
      <c r="M7" s="22">
        <v>34</v>
      </c>
      <c r="N7" s="22">
        <v>34</v>
      </c>
      <c r="O7" s="22">
        <v>34</v>
      </c>
      <c r="P7" s="23">
        <v>5.0648349497708356E-3</v>
      </c>
      <c r="Q7" s="69">
        <f t="shared" ref="Q7:Q38" si="0">SUM(C7:O7)</f>
        <v>427</v>
      </c>
    </row>
    <row r="8" spans="1:18" ht="13.2" x14ac:dyDescent="0.25">
      <c r="A8" s="24"/>
      <c r="B8" s="25" t="s">
        <v>43</v>
      </c>
      <c r="C8" s="22">
        <v>351</v>
      </c>
      <c r="D8" s="22">
        <v>351</v>
      </c>
      <c r="E8" s="22">
        <v>350</v>
      </c>
      <c r="F8" s="22">
        <v>352</v>
      </c>
      <c r="G8" s="22">
        <v>354</v>
      </c>
      <c r="H8" s="22">
        <v>356</v>
      </c>
      <c r="I8" s="22">
        <v>357</v>
      </c>
      <c r="J8" s="22">
        <v>359</v>
      </c>
      <c r="K8" s="22">
        <v>362</v>
      </c>
      <c r="L8" s="22">
        <v>365</v>
      </c>
      <c r="M8" s="22">
        <v>366</v>
      </c>
      <c r="N8" s="22">
        <v>368</v>
      </c>
      <c r="O8" s="22">
        <v>369</v>
      </c>
      <c r="P8" s="23">
        <v>4.1762312985225147E-3</v>
      </c>
      <c r="Q8" s="69">
        <f t="shared" si="0"/>
        <v>4660</v>
      </c>
    </row>
    <row r="9" spans="1:18" ht="13.2" x14ac:dyDescent="0.25">
      <c r="A9" s="24"/>
      <c r="B9" s="25" t="s">
        <v>44</v>
      </c>
      <c r="C9" s="22">
        <v>16</v>
      </c>
      <c r="D9" s="22">
        <v>16</v>
      </c>
      <c r="E9" s="22">
        <v>16</v>
      </c>
      <c r="F9" s="22">
        <v>16</v>
      </c>
      <c r="G9" s="22">
        <v>16</v>
      </c>
      <c r="H9" s="22">
        <v>16</v>
      </c>
      <c r="I9" s="22">
        <v>16</v>
      </c>
      <c r="J9" s="22">
        <v>16</v>
      </c>
      <c r="K9" s="22">
        <v>16</v>
      </c>
      <c r="L9" s="22">
        <v>16</v>
      </c>
      <c r="M9" s="22">
        <v>16</v>
      </c>
      <c r="N9" s="22">
        <v>16</v>
      </c>
      <c r="O9" s="22">
        <v>17</v>
      </c>
      <c r="P9" s="23">
        <v>5.0648349497708356E-3</v>
      </c>
      <c r="Q9" s="69">
        <f t="shared" si="0"/>
        <v>209</v>
      </c>
    </row>
    <row r="10" spans="1:18" ht="13.2" x14ac:dyDescent="0.25">
      <c r="A10" s="24"/>
      <c r="B10" s="25" t="s">
        <v>45</v>
      </c>
      <c r="C10" s="22">
        <v>36</v>
      </c>
      <c r="D10" s="22">
        <v>36</v>
      </c>
      <c r="E10" s="22">
        <v>36</v>
      </c>
      <c r="F10" s="22">
        <v>36</v>
      </c>
      <c r="G10" s="22">
        <v>36</v>
      </c>
      <c r="H10" s="22">
        <v>36</v>
      </c>
      <c r="I10" s="22">
        <v>36</v>
      </c>
      <c r="J10" s="22">
        <v>36</v>
      </c>
      <c r="K10" s="22">
        <v>37</v>
      </c>
      <c r="L10" s="22">
        <v>37</v>
      </c>
      <c r="M10" s="22">
        <v>37</v>
      </c>
      <c r="N10" s="22">
        <v>37</v>
      </c>
      <c r="O10" s="22">
        <v>37</v>
      </c>
      <c r="P10" s="23">
        <v>2.2858564443581919E-3</v>
      </c>
      <c r="Q10" s="69">
        <f t="shared" si="0"/>
        <v>473</v>
      </c>
    </row>
    <row r="11" spans="1:18" ht="13.2" x14ac:dyDescent="0.25">
      <c r="A11" s="24"/>
      <c r="B11" s="25" t="s">
        <v>46</v>
      </c>
      <c r="C11" s="22">
        <v>74</v>
      </c>
      <c r="D11" s="22">
        <v>75</v>
      </c>
      <c r="E11" s="22">
        <v>74</v>
      </c>
      <c r="F11" s="22">
        <v>75</v>
      </c>
      <c r="G11" s="22">
        <v>75</v>
      </c>
      <c r="H11" s="22">
        <v>75</v>
      </c>
      <c r="I11" s="22">
        <v>76</v>
      </c>
      <c r="J11" s="22">
        <v>76</v>
      </c>
      <c r="K11" s="22">
        <v>77</v>
      </c>
      <c r="L11" s="22">
        <v>77</v>
      </c>
      <c r="M11" s="22">
        <v>78</v>
      </c>
      <c r="N11" s="22">
        <v>78</v>
      </c>
      <c r="O11" s="22">
        <v>78</v>
      </c>
      <c r="P11" s="23">
        <v>4.3966146646163828E-3</v>
      </c>
      <c r="Q11" s="69">
        <f t="shared" si="0"/>
        <v>988</v>
      </c>
    </row>
    <row r="12" spans="1:18" ht="13.2" x14ac:dyDescent="0.25">
      <c r="A12" s="24"/>
      <c r="B12" s="25" t="s">
        <v>47</v>
      </c>
      <c r="C12" s="22">
        <v>12</v>
      </c>
      <c r="D12" s="22">
        <v>12</v>
      </c>
      <c r="E12" s="22">
        <v>12</v>
      </c>
      <c r="F12" s="22">
        <v>12</v>
      </c>
      <c r="G12" s="22">
        <v>12</v>
      </c>
      <c r="H12" s="22">
        <v>12</v>
      </c>
      <c r="I12" s="22">
        <v>12</v>
      </c>
      <c r="J12" s="22">
        <v>12</v>
      </c>
      <c r="K12" s="22">
        <v>12</v>
      </c>
      <c r="L12" s="22">
        <v>12</v>
      </c>
      <c r="M12" s="22">
        <v>12</v>
      </c>
      <c r="N12" s="22">
        <v>12</v>
      </c>
      <c r="O12" s="22">
        <v>12</v>
      </c>
      <c r="P12" s="23">
        <v>0</v>
      </c>
      <c r="Q12" s="69">
        <f t="shared" si="0"/>
        <v>156</v>
      </c>
    </row>
    <row r="13" spans="1:18" ht="13.2" x14ac:dyDescent="0.25">
      <c r="A13" s="24"/>
      <c r="B13" s="25" t="s">
        <v>48</v>
      </c>
      <c r="C13" s="22">
        <v>449</v>
      </c>
      <c r="D13" s="22">
        <v>449</v>
      </c>
      <c r="E13" s="22">
        <v>448</v>
      </c>
      <c r="F13" s="22">
        <v>451</v>
      </c>
      <c r="G13" s="22">
        <v>453</v>
      </c>
      <c r="H13" s="22">
        <v>455</v>
      </c>
      <c r="I13" s="22">
        <v>457</v>
      </c>
      <c r="J13" s="22">
        <v>460</v>
      </c>
      <c r="K13" s="22">
        <v>463</v>
      </c>
      <c r="L13" s="22">
        <v>466</v>
      </c>
      <c r="M13" s="22">
        <v>468</v>
      </c>
      <c r="N13" s="22">
        <v>470</v>
      </c>
      <c r="O13" s="22">
        <v>472</v>
      </c>
      <c r="P13" s="23">
        <v>4.1716855091740168E-3</v>
      </c>
      <c r="Q13" s="69">
        <f t="shared" si="0"/>
        <v>5961</v>
      </c>
    </row>
    <row r="14" spans="1:18" ht="13.2" x14ac:dyDescent="0.25">
      <c r="A14" s="24"/>
      <c r="B14" s="25" t="s">
        <v>19</v>
      </c>
      <c r="C14" s="22">
        <v>134</v>
      </c>
      <c r="D14" s="22">
        <v>135</v>
      </c>
      <c r="E14" s="22">
        <v>134</v>
      </c>
      <c r="F14" s="22">
        <v>135</v>
      </c>
      <c r="G14" s="22">
        <v>136</v>
      </c>
      <c r="H14" s="22">
        <v>136</v>
      </c>
      <c r="I14" s="22">
        <v>137</v>
      </c>
      <c r="J14" s="22">
        <v>138</v>
      </c>
      <c r="K14" s="22">
        <v>139</v>
      </c>
      <c r="L14" s="22">
        <v>140</v>
      </c>
      <c r="M14" s="22">
        <v>140</v>
      </c>
      <c r="N14" s="22">
        <v>141</v>
      </c>
      <c r="O14" s="22">
        <v>141</v>
      </c>
      <c r="P14" s="23">
        <v>4.2523565875483005E-3</v>
      </c>
      <c r="Q14" s="69">
        <f t="shared" si="0"/>
        <v>1786</v>
      </c>
    </row>
    <row r="15" spans="1:18" ht="13.2" x14ac:dyDescent="0.25">
      <c r="A15" s="24"/>
      <c r="B15" s="25" t="s">
        <v>49</v>
      </c>
      <c r="C15" s="22">
        <v>962</v>
      </c>
      <c r="D15" s="22">
        <v>962</v>
      </c>
      <c r="E15" s="22">
        <v>960</v>
      </c>
      <c r="F15" s="22">
        <v>965</v>
      </c>
      <c r="G15" s="22">
        <v>970</v>
      </c>
      <c r="H15" s="22">
        <v>974</v>
      </c>
      <c r="I15" s="22">
        <v>979</v>
      </c>
      <c r="J15" s="22">
        <v>985</v>
      </c>
      <c r="K15" s="22">
        <v>992</v>
      </c>
      <c r="L15" s="22">
        <v>999</v>
      </c>
      <c r="M15" s="22">
        <v>1004</v>
      </c>
      <c r="N15" s="22">
        <v>1008</v>
      </c>
      <c r="O15" s="22">
        <v>1012</v>
      </c>
      <c r="P15" s="23">
        <v>4.2313770338466838E-3</v>
      </c>
      <c r="Q15" s="69">
        <f t="shared" si="0"/>
        <v>12772</v>
      </c>
    </row>
    <row r="16" spans="1:18" ht="13.2" x14ac:dyDescent="0.25">
      <c r="A16" s="24"/>
      <c r="B16" s="25" t="s">
        <v>50</v>
      </c>
      <c r="C16" s="22">
        <v>1021</v>
      </c>
      <c r="D16" s="22">
        <v>1021</v>
      </c>
      <c r="E16" s="22">
        <v>1019</v>
      </c>
      <c r="F16" s="22">
        <v>1025</v>
      </c>
      <c r="G16" s="22">
        <v>1030</v>
      </c>
      <c r="H16" s="22">
        <v>1034</v>
      </c>
      <c r="I16" s="22">
        <v>1039</v>
      </c>
      <c r="J16" s="22">
        <v>1045</v>
      </c>
      <c r="K16" s="22">
        <v>1053</v>
      </c>
      <c r="L16" s="22">
        <v>1061</v>
      </c>
      <c r="M16" s="22">
        <v>1065</v>
      </c>
      <c r="N16" s="22">
        <v>1070</v>
      </c>
      <c r="O16" s="22">
        <v>1074</v>
      </c>
      <c r="P16" s="23">
        <v>4.226193349001317E-3</v>
      </c>
      <c r="Q16" s="69">
        <f t="shared" si="0"/>
        <v>13557</v>
      </c>
    </row>
    <row r="17" spans="1:17" ht="13.2" x14ac:dyDescent="0.25">
      <c r="A17" s="24"/>
      <c r="B17" s="25" t="s">
        <v>51</v>
      </c>
      <c r="C17" s="22">
        <v>109</v>
      </c>
      <c r="D17" s="22">
        <v>109</v>
      </c>
      <c r="E17" s="22">
        <v>109</v>
      </c>
      <c r="F17" s="22">
        <v>109</v>
      </c>
      <c r="G17" s="22">
        <v>110</v>
      </c>
      <c r="H17" s="22">
        <v>110</v>
      </c>
      <c r="I17" s="22">
        <v>111</v>
      </c>
      <c r="J17" s="22">
        <v>112</v>
      </c>
      <c r="K17" s="22">
        <v>112</v>
      </c>
      <c r="L17" s="22">
        <v>113</v>
      </c>
      <c r="M17" s="22">
        <v>114</v>
      </c>
      <c r="N17" s="22">
        <v>114</v>
      </c>
      <c r="O17" s="22">
        <v>115</v>
      </c>
      <c r="P17" s="23">
        <v>4.4753383929694301E-3</v>
      </c>
      <c r="Q17" s="69">
        <f t="shared" si="0"/>
        <v>1447</v>
      </c>
    </row>
    <row r="18" spans="1:17" ht="13.2" x14ac:dyDescent="0.25">
      <c r="A18" s="24"/>
      <c r="B18" s="25" t="s">
        <v>52</v>
      </c>
      <c r="C18" s="22">
        <v>837</v>
      </c>
      <c r="D18" s="22">
        <v>1614</v>
      </c>
      <c r="E18" s="22">
        <v>1614</v>
      </c>
      <c r="F18" s="22">
        <v>1614</v>
      </c>
      <c r="G18" s="22">
        <v>1614</v>
      </c>
      <c r="H18" s="22">
        <v>1614</v>
      </c>
      <c r="I18" s="22">
        <v>1614</v>
      </c>
      <c r="J18" s="22">
        <v>1614</v>
      </c>
      <c r="K18" s="22">
        <v>1614</v>
      </c>
      <c r="L18" s="22">
        <v>1614</v>
      </c>
      <c r="M18" s="22">
        <v>1614</v>
      </c>
      <c r="N18" s="22">
        <v>1614</v>
      </c>
      <c r="O18" s="22">
        <v>1614</v>
      </c>
      <c r="P18" s="23">
        <v>5.6245421348329439E-2</v>
      </c>
      <c r="Q18" s="69">
        <f t="shared" si="0"/>
        <v>20205</v>
      </c>
    </row>
    <row r="19" spans="1:17" ht="13.2" x14ac:dyDescent="0.25">
      <c r="A19" s="24"/>
      <c r="B19" s="25" t="s">
        <v>53</v>
      </c>
      <c r="C19" s="22">
        <v>20</v>
      </c>
      <c r="D19" s="22">
        <v>20</v>
      </c>
      <c r="E19" s="22">
        <v>20</v>
      </c>
      <c r="F19" s="22">
        <v>20</v>
      </c>
      <c r="G19" s="22">
        <v>20</v>
      </c>
      <c r="H19" s="22">
        <v>21</v>
      </c>
      <c r="I19" s="22">
        <v>21</v>
      </c>
      <c r="J19" s="22">
        <v>21</v>
      </c>
      <c r="K19" s="22">
        <v>21</v>
      </c>
      <c r="L19" s="22">
        <v>21</v>
      </c>
      <c r="M19" s="22">
        <v>21</v>
      </c>
      <c r="N19" s="22">
        <v>21</v>
      </c>
      <c r="O19" s="22">
        <v>21</v>
      </c>
      <c r="P19" s="23">
        <v>4.0741237836483535E-3</v>
      </c>
      <c r="Q19" s="69">
        <f t="shared" si="0"/>
        <v>268</v>
      </c>
    </row>
    <row r="20" spans="1:17" ht="13.2" x14ac:dyDescent="0.25">
      <c r="A20" s="24"/>
      <c r="B20" s="25" t="s">
        <v>18</v>
      </c>
      <c r="C20" s="22">
        <v>132</v>
      </c>
      <c r="D20" s="22">
        <v>132</v>
      </c>
      <c r="E20" s="22">
        <v>131</v>
      </c>
      <c r="F20" s="22">
        <v>132</v>
      </c>
      <c r="G20" s="22">
        <v>133</v>
      </c>
      <c r="H20" s="22">
        <v>133</v>
      </c>
      <c r="I20" s="22">
        <v>134</v>
      </c>
      <c r="J20" s="22">
        <v>135</v>
      </c>
      <c r="K20" s="22">
        <v>136</v>
      </c>
      <c r="L20" s="22">
        <v>137</v>
      </c>
      <c r="M20" s="22">
        <v>137</v>
      </c>
      <c r="N20" s="22">
        <v>138</v>
      </c>
      <c r="O20" s="22">
        <v>138</v>
      </c>
      <c r="P20" s="23">
        <v>3.7111829965774668E-3</v>
      </c>
      <c r="Q20" s="69">
        <f t="shared" si="0"/>
        <v>1748</v>
      </c>
    </row>
    <row r="21" spans="1:17" ht="13.2" x14ac:dyDescent="0.25">
      <c r="A21" s="24"/>
      <c r="B21" s="25" t="s">
        <v>54</v>
      </c>
      <c r="C21" s="22">
        <v>75421</v>
      </c>
      <c r="D21" s="22">
        <v>72904</v>
      </c>
      <c r="E21" s="22">
        <v>72567</v>
      </c>
      <c r="F21" s="22">
        <v>73061</v>
      </c>
      <c r="G21" s="22">
        <v>73503</v>
      </c>
      <c r="H21" s="22">
        <v>73844</v>
      </c>
      <c r="I21" s="22">
        <v>74260</v>
      </c>
      <c r="J21" s="22">
        <v>74772</v>
      </c>
      <c r="K21" s="22">
        <v>75440</v>
      </c>
      <c r="L21" s="22">
        <v>76052</v>
      </c>
      <c r="M21" s="22">
        <v>76456</v>
      </c>
      <c r="N21" s="22">
        <v>76806</v>
      </c>
      <c r="O21" s="22">
        <v>77134</v>
      </c>
      <c r="P21" s="23">
        <v>1.8732872703965953E-3</v>
      </c>
      <c r="Q21" s="69">
        <f t="shared" si="0"/>
        <v>972220</v>
      </c>
    </row>
    <row r="22" spans="1:17" ht="13.2" x14ac:dyDescent="0.25">
      <c r="A22" s="24"/>
      <c r="B22" s="25" t="s">
        <v>55</v>
      </c>
      <c r="C22" s="22">
        <v>9520</v>
      </c>
      <c r="D22" s="22">
        <v>9520</v>
      </c>
      <c r="E22" s="22">
        <v>9520</v>
      </c>
      <c r="F22" s="22">
        <v>9520</v>
      </c>
      <c r="G22" s="22">
        <v>9520</v>
      </c>
      <c r="H22" s="22">
        <v>9520</v>
      </c>
      <c r="I22" s="22">
        <v>9520</v>
      </c>
      <c r="J22" s="22">
        <v>9520</v>
      </c>
      <c r="K22" s="22">
        <v>9520</v>
      </c>
      <c r="L22" s="22">
        <v>9520</v>
      </c>
      <c r="M22" s="22">
        <v>9520</v>
      </c>
      <c r="N22" s="22">
        <v>9520</v>
      </c>
      <c r="O22" s="22">
        <v>9520</v>
      </c>
      <c r="P22" s="23">
        <v>0</v>
      </c>
      <c r="Q22" s="69">
        <f t="shared" si="0"/>
        <v>123760</v>
      </c>
    </row>
    <row r="23" spans="1:17" ht="13.2" x14ac:dyDescent="0.25">
      <c r="A23" s="24"/>
      <c r="B23" s="25" t="s">
        <v>56</v>
      </c>
      <c r="C23" s="22">
        <v>1255</v>
      </c>
      <c r="D23" s="22">
        <v>1702</v>
      </c>
      <c r="E23" s="22">
        <v>1819</v>
      </c>
      <c r="F23" s="22">
        <v>1828</v>
      </c>
      <c r="G23" s="22">
        <v>1838</v>
      </c>
      <c r="H23" s="22">
        <v>1847</v>
      </c>
      <c r="I23" s="22">
        <v>1856</v>
      </c>
      <c r="J23" s="22">
        <v>1865</v>
      </c>
      <c r="K23" s="22">
        <v>1875</v>
      </c>
      <c r="L23" s="22">
        <v>1884</v>
      </c>
      <c r="M23" s="22">
        <v>1893</v>
      </c>
      <c r="N23" s="22">
        <v>1903</v>
      </c>
      <c r="O23" s="22">
        <v>1912</v>
      </c>
      <c r="P23" s="23">
        <v>3.5707243253099152E-2</v>
      </c>
      <c r="Q23" s="69">
        <f t="shared" si="0"/>
        <v>23477</v>
      </c>
    </row>
    <row r="24" spans="1:17" ht="13.2" x14ac:dyDescent="0.25">
      <c r="A24" s="24"/>
      <c r="B24" s="25" t="s">
        <v>57</v>
      </c>
      <c r="C24" s="22">
        <v>436</v>
      </c>
      <c r="D24" s="22">
        <v>1770</v>
      </c>
      <c r="E24" s="22">
        <v>1774</v>
      </c>
      <c r="F24" s="22">
        <v>1777</v>
      </c>
      <c r="G24" s="22">
        <v>1781</v>
      </c>
      <c r="H24" s="22">
        <v>1784</v>
      </c>
      <c r="I24" s="22">
        <v>1788</v>
      </c>
      <c r="J24" s="22">
        <v>1791</v>
      </c>
      <c r="K24" s="22">
        <v>1795</v>
      </c>
      <c r="L24" s="22">
        <v>1799</v>
      </c>
      <c r="M24" s="22">
        <v>1802</v>
      </c>
      <c r="N24" s="22">
        <v>1806</v>
      </c>
      <c r="O24" s="22">
        <v>1810</v>
      </c>
      <c r="P24" s="23">
        <v>0.12594196785905409</v>
      </c>
      <c r="Q24" s="69">
        <f t="shared" si="0"/>
        <v>21913</v>
      </c>
    </row>
    <row r="25" spans="1:17" ht="13.2" x14ac:dyDescent="0.25">
      <c r="A25" s="24"/>
      <c r="B25" s="25" t="s">
        <v>58</v>
      </c>
      <c r="C25" s="22">
        <v>149</v>
      </c>
      <c r="D25" s="22">
        <v>149</v>
      </c>
      <c r="E25" s="22">
        <v>149</v>
      </c>
      <c r="F25" s="22">
        <v>150</v>
      </c>
      <c r="G25" s="22">
        <v>150</v>
      </c>
      <c r="H25" s="22">
        <v>151</v>
      </c>
      <c r="I25" s="22">
        <v>152</v>
      </c>
      <c r="J25" s="22">
        <v>153</v>
      </c>
      <c r="K25" s="22">
        <v>154</v>
      </c>
      <c r="L25" s="22">
        <v>155</v>
      </c>
      <c r="M25" s="22">
        <v>156</v>
      </c>
      <c r="N25" s="22">
        <v>156</v>
      </c>
      <c r="O25" s="22">
        <v>157</v>
      </c>
      <c r="P25" s="23">
        <v>4.3678027822706689E-3</v>
      </c>
      <c r="Q25" s="69">
        <f t="shared" si="0"/>
        <v>1981</v>
      </c>
    </row>
    <row r="26" spans="1:17" ht="13.2" x14ac:dyDescent="0.25">
      <c r="A26" s="24"/>
      <c r="B26" s="25" t="s">
        <v>21</v>
      </c>
      <c r="C26" s="22">
        <v>48</v>
      </c>
      <c r="D26" s="22">
        <v>48</v>
      </c>
      <c r="E26" s="22">
        <v>48</v>
      </c>
      <c r="F26" s="22">
        <v>49</v>
      </c>
      <c r="G26" s="22">
        <v>49</v>
      </c>
      <c r="H26" s="22">
        <v>49</v>
      </c>
      <c r="I26" s="22">
        <v>49</v>
      </c>
      <c r="J26" s="22">
        <v>49</v>
      </c>
      <c r="K26" s="22">
        <v>50</v>
      </c>
      <c r="L26" s="22">
        <v>50</v>
      </c>
      <c r="M26" s="22">
        <v>50</v>
      </c>
      <c r="N26" s="22">
        <v>51</v>
      </c>
      <c r="O26" s="22">
        <v>51</v>
      </c>
      <c r="P26" s="23">
        <v>5.0648349497708356E-3</v>
      </c>
      <c r="Q26" s="69">
        <f t="shared" si="0"/>
        <v>641</v>
      </c>
    </row>
    <row r="27" spans="1:17" ht="13.2" x14ac:dyDescent="0.25">
      <c r="A27" s="24"/>
      <c r="B27" s="25" t="s">
        <v>59</v>
      </c>
      <c r="C27" s="22">
        <v>20</v>
      </c>
      <c r="D27" s="22">
        <v>20</v>
      </c>
      <c r="E27" s="22">
        <v>19</v>
      </c>
      <c r="F27" s="22">
        <v>20</v>
      </c>
      <c r="G27" s="22">
        <v>20</v>
      </c>
      <c r="H27" s="22">
        <v>20</v>
      </c>
      <c r="I27" s="22">
        <v>20</v>
      </c>
      <c r="J27" s="22">
        <v>20</v>
      </c>
      <c r="K27" s="22">
        <v>20</v>
      </c>
      <c r="L27" s="22">
        <v>20</v>
      </c>
      <c r="M27" s="22">
        <v>20</v>
      </c>
      <c r="N27" s="22">
        <v>20</v>
      </c>
      <c r="O27" s="22">
        <v>21</v>
      </c>
      <c r="P27" s="23">
        <v>4.0741237836483535E-3</v>
      </c>
      <c r="Q27" s="69">
        <f t="shared" si="0"/>
        <v>260</v>
      </c>
    </row>
    <row r="28" spans="1:17" ht="13.2" x14ac:dyDescent="0.25">
      <c r="A28" s="24"/>
      <c r="B28" s="25" t="s">
        <v>10</v>
      </c>
      <c r="C28" s="22">
        <v>3024</v>
      </c>
      <c r="D28" s="22">
        <v>3026</v>
      </c>
      <c r="E28" s="22">
        <v>3018</v>
      </c>
      <c r="F28" s="22">
        <v>3036</v>
      </c>
      <c r="G28" s="22">
        <v>3052</v>
      </c>
      <c r="H28" s="22">
        <v>3064</v>
      </c>
      <c r="I28" s="22">
        <v>3079</v>
      </c>
      <c r="J28" s="22">
        <v>3097</v>
      </c>
      <c r="K28" s="22">
        <v>3120</v>
      </c>
      <c r="L28" s="22">
        <v>3142</v>
      </c>
      <c r="M28" s="22">
        <v>3156</v>
      </c>
      <c r="N28" s="22">
        <v>3169</v>
      </c>
      <c r="O28" s="22">
        <v>3181</v>
      </c>
      <c r="P28" s="23">
        <v>4.2268375222822563E-3</v>
      </c>
      <c r="Q28" s="69">
        <f t="shared" si="0"/>
        <v>40164</v>
      </c>
    </row>
    <row r="29" spans="1:17" ht="13.2" x14ac:dyDescent="0.25">
      <c r="A29" s="24"/>
      <c r="B29" s="25" t="s">
        <v>60</v>
      </c>
      <c r="C29" s="22">
        <v>23</v>
      </c>
      <c r="D29" s="22">
        <v>23</v>
      </c>
      <c r="E29" s="22">
        <v>23</v>
      </c>
      <c r="F29" s="22">
        <v>23</v>
      </c>
      <c r="G29" s="22">
        <v>24</v>
      </c>
      <c r="H29" s="22">
        <v>24</v>
      </c>
      <c r="I29" s="22">
        <v>24</v>
      </c>
      <c r="J29" s="22">
        <v>24</v>
      </c>
      <c r="K29" s="22">
        <v>24</v>
      </c>
      <c r="L29" s="22">
        <v>24</v>
      </c>
      <c r="M29" s="22">
        <v>24</v>
      </c>
      <c r="N29" s="22">
        <v>24</v>
      </c>
      <c r="O29" s="22">
        <v>25</v>
      </c>
      <c r="P29" s="23">
        <v>6.9726640219258673E-3</v>
      </c>
      <c r="Q29" s="69">
        <f t="shared" si="0"/>
        <v>309</v>
      </c>
    </row>
    <row r="30" spans="1:17" ht="13.2" x14ac:dyDescent="0.25">
      <c r="A30" s="24"/>
      <c r="B30" s="25" t="s">
        <v>61</v>
      </c>
      <c r="C30" s="22">
        <v>1493</v>
      </c>
      <c r="D30" s="22">
        <v>1493</v>
      </c>
      <c r="E30" s="22">
        <v>1490</v>
      </c>
      <c r="F30" s="22">
        <v>1498</v>
      </c>
      <c r="G30" s="22">
        <v>1506</v>
      </c>
      <c r="H30" s="22">
        <v>1512</v>
      </c>
      <c r="I30" s="22">
        <v>1519</v>
      </c>
      <c r="J30" s="22">
        <v>1528</v>
      </c>
      <c r="K30" s="22">
        <v>1540</v>
      </c>
      <c r="L30" s="22">
        <v>1551</v>
      </c>
      <c r="M30" s="22">
        <v>1558</v>
      </c>
      <c r="N30" s="22">
        <v>1564</v>
      </c>
      <c r="O30" s="22">
        <v>1570</v>
      </c>
      <c r="P30" s="23">
        <v>4.19946822448658E-3</v>
      </c>
      <c r="Q30" s="69">
        <f t="shared" si="0"/>
        <v>19822</v>
      </c>
    </row>
    <row r="31" spans="1:17" ht="13.2" x14ac:dyDescent="0.25">
      <c r="A31" s="21" t="s">
        <v>62</v>
      </c>
      <c r="B31" s="26"/>
      <c r="C31" s="22">
        <v>95574</v>
      </c>
      <c r="D31" s="22">
        <v>95619</v>
      </c>
      <c r="E31" s="22">
        <v>95382</v>
      </c>
      <c r="F31" s="22">
        <v>95936</v>
      </c>
      <c r="G31" s="22">
        <v>96434</v>
      </c>
      <c r="H31" s="22">
        <v>96820</v>
      </c>
      <c r="I31" s="22">
        <v>97289</v>
      </c>
      <c r="J31" s="22">
        <v>97861</v>
      </c>
      <c r="K31" s="22">
        <v>98605</v>
      </c>
      <c r="L31" s="22">
        <v>99288</v>
      </c>
      <c r="M31" s="22">
        <v>99741</v>
      </c>
      <c r="N31" s="22">
        <v>100140</v>
      </c>
      <c r="O31" s="22">
        <v>100515</v>
      </c>
      <c r="P31" s="23">
        <v>4.2093473154383165E-3</v>
      </c>
      <c r="Q31" s="69">
        <f t="shared" si="0"/>
        <v>1269204</v>
      </c>
    </row>
    <row r="32" spans="1:17" ht="13.2" x14ac:dyDescent="0.25">
      <c r="A32" s="21" t="s">
        <v>1</v>
      </c>
      <c r="B32" s="25" t="s">
        <v>31</v>
      </c>
      <c r="C32" s="22">
        <v>49</v>
      </c>
      <c r="D32" s="22">
        <v>50</v>
      </c>
      <c r="E32" s="22">
        <v>50</v>
      </c>
      <c r="F32" s="22">
        <v>50</v>
      </c>
      <c r="G32" s="22">
        <v>50</v>
      </c>
      <c r="H32" s="22">
        <v>50</v>
      </c>
      <c r="I32" s="22">
        <v>51</v>
      </c>
      <c r="J32" s="22">
        <v>51</v>
      </c>
      <c r="K32" s="22">
        <v>51</v>
      </c>
      <c r="L32" s="22">
        <v>51</v>
      </c>
      <c r="M32" s="22">
        <v>51</v>
      </c>
      <c r="N32" s="22">
        <v>51</v>
      </c>
      <c r="O32" s="22">
        <v>51</v>
      </c>
      <c r="P32" s="23">
        <v>3.3393411024262853E-3</v>
      </c>
      <c r="Q32" s="69">
        <f t="shared" si="0"/>
        <v>656</v>
      </c>
    </row>
    <row r="33" spans="1:17" ht="13.2" x14ac:dyDescent="0.25">
      <c r="A33" s="25"/>
      <c r="B33" s="25" t="s">
        <v>63</v>
      </c>
      <c r="C33" s="22">
        <v>256</v>
      </c>
      <c r="D33" s="22">
        <v>261</v>
      </c>
      <c r="E33" s="22">
        <v>263</v>
      </c>
      <c r="F33" s="22">
        <v>263</v>
      </c>
      <c r="G33" s="22">
        <v>263</v>
      </c>
      <c r="H33" s="22">
        <v>264</v>
      </c>
      <c r="I33" s="22">
        <v>264</v>
      </c>
      <c r="J33" s="22">
        <v>265</v>
      </c>
      <c r="K33" s="22">
        <v>266</v>
      </c>
      <c r="L33" s="22">
        <v>267</v>
      </c>
      <c r="M33" s="22">
        <v>268</v>
      </c>
      <c r="N33" s="22">
        <v>269</v>
      </c>
      <c r="O33" s="22">
        <v>269</v>
      </c>
      <c r="P33" s="23">
        <v>4.1363591429783853E-3</v>
      </c>
      <c r="Q33" s="69">
        <f t="shared" si="0"/>
        <v>3438</v>
      </c>
    </row>
    <row r="34" spans="1:17" ht="13.2" x14ac:dyDescent="0.25">
      <c r="A34" s="24"/>
      <c r="B34" s="25" t="s">
        <v>64</v>
      </c>
      <c r="C34" s="22">
        <v>129</v>
      </c>
      <c r="D34" s="22">
        <v>132</v>
      </c>
      <c r="E34" s="22">
        <v>132</v>
      </c>
      <c r="F34" s="22">
        <v>132</v>
      </c>
      <c r="G34" s="22">
        <v>133</v>
      </c>
      <c r="H34" s="22">
        <v>133</v>
      </c>
      <c r="I34" s="22">
        <v>133</v>
      </c>
      <c r="J34" s="22">
        <v>133</v>
      </c>
      <c r="K34" s="22">
        <v>134</v>
      </c>
      <c r="L34" s="22">
        <v>134</v>
      </c>
      <c r="M34" s="22">
        <v>135</v>
      </c>
      <c r="N34" s="22">
        <v>135</v>
      </c>
      <c r="O34" s="22">
        <v>135</v>
      </c>
      <c r="P34" s="23">
        <v>3.7957167286559734E-3</v>
      </c>
      <c r="Q34" s="69">
        <f t="shared" si="0"/>
        <v>1730</v>
      </c>
    </row>
    <row r="35" spans="1:17" ht="13.2" x14ac:dyDescent="0.25">
      <c r="A35" s="24"/>
      <c r="B35" s="25" t="s">
        <v>4</v>
      </c>
      <c r="C35" s="22">
        <v>2322</v>
      </c>
      <c r="D35" s="22">
        <v>2373</v>
      </c>
      <c r="E35" s="22">
        <v>2387</v>
      </c>
      <c r="F35" s="22">
        <v>2387</v>
      </c>
      <c r="G35" s="22">
        <v>2391</v>
      </c>
      <c r="H35" s="22">
        <v>2393</v>
      </c>
      <c r="I35" s="22">
        <v>2399</v>
      </c>
      <c r="J35" s="22">
        <v>2403</v>
      </c>
      <c r="K35" s="22">
        <v>2418</v>
      </c>
      <c r="L35" s="22">
        <v>2426</v>
      </c>
      <c r="M35" s="22">
        <v>2431</v>
      </c>
      <c r="N35" s="22">
        <v>2439</v>
      </c>
      <c r="O35" s="22">
        <v>2441</v>
      </c>
      <c r="P35" s="23">
        <v>4.1735942984204577E-3</v>
      </c>
      <c r="Q35" s="69">
        <f t="shared" si="0"/>
        <v>31210</v>
      </c>
    </row>
    <row r="36" spans="1:17" ht="13.2" x14ac:dyDescent="0.25">
      <c r="A36" s="24"/>
      <c r="B36" s="25" t="s">
        <v>65</v>
      </c>
      <c r="C36" s="22">
        <v>147</v>
      </c>
      <c r="D36" s="22">
        <v>150</v>
      </c>
      <c r="E36" s="22">
        <v>151</v>
      </c>
      <c r="F36" s="22">
        <v>151</v>
      </c>
      <c r="G36" s="22">
        <v>151</v>
      </c>
      <c r="H36" s="22">
        <v>151</v>
      </c>
      <c r="I36" s="22">
        <v>151</v>
      </c>
      <c r="J36" s="22">
        <v>152</v>
      </c>
      <c r="K36" s="22">
        <v>153</v>
      </c>
      <c r="L36" s="22">
        <v>153</v>
      </c>
      <c r="M36" s="22">
        <v>153</v>
      </c>
      <c r="N36" s="22">
        <v>154</v>
      </c>
      <c r="O36" s="22">
        <v>154</v>
      </c>
      <c r="P36" s="23">
        <v>3.8841919663850089E-3</v>
      </c>
      <c r="Q36" s="69">
        <f t="shared" si="0"/>
        <v>1971</v>
      </c>
    </row>
    <row r="37" spans="1:17" ht="13.2" x14ac:dyDescent="0.25">
      <c r="A37" s="24"/>
      <c r="B37" s="25" t="s">
        <v>14</v>
      </c>
      <c r="C37" s="22">
        <v>81</v>
      </c>
      <c r="D37" s="22">
        <v>83</v>
      </c>
      <c r="E37" s="22">
        <v>83</v>
      </c>
      <c r="F37" s="22">
        <v>83</v>
      </c>
      <c r="G37" s="22">
        <v>83</v>
      </c>
      <c r="H37" s="22">
        <v>83</v>
      </c>
      <c r="I37" s="22">
        <v>84</v>
      </c>
      <c r="J37" s="22">
        <v>84</v>
      </c>
      <c r="K37" s="22">
        <v>84</v>
      </c>
      <c r="L37" s="22">
        <v>85</v>
      </c>
      <c r="M37" s="22">
        <v>85</v>
      </c>
      <c r="N37" s="22">
        <v>85</v>
      </c>
      <c r="O37" s="22">
        <v>85</v>
      </c>
      <c r="P37" s="23">
        <v>4.0249201400779366E-3</v>
      </c>
      <c r="Q37" s="69">
        <f t="shared" si="0"/>
        <v>1088</v>
      </c>
    </row>
    <row r="38" spans="1:17" ht="13.2" x14ac:dyDescent="0.25">
      <c r="A38" s="24"/>
      <c r="B38" s="25" t="s">
        <v>66</v>
      </c>
      <c r="C38" s="22">
        <v>356</v>
      </c>
      <c r="D38" s="22">
        <v>364</v>
      </c>
      <c r="E38" s="22">
        <v>366</v>
      </c>
      <c r="F38" s="22">
        <v>366</v>
      </c>
      <c r="G38" s="22">
        <v>367</v>
      </c>
      <c r="H38" s="22">
        <v>367</v>
      </c>
      <c r="I38" s="22">
        <v>368</v>
      </c>
      <c r="J38" s="22">
        <v>369</v>
      </c>
      <c r="K38" s="22">
        <v>371</v>
      </c>
      <c r="L38" s="22">
        <v>372</v>
      </c>
      <c r="M38" s="22">
        <v>373</v>
      </c>
      <c r="N38" s="22">
        <v>374</v>
      </c>
      <c r="O38" s="22">
        <v>374</v>
      </c>
      <c r="P38" s="23">
        <v>4.118881585487344E-3</v>
      </c>
      <c r="Q38" s="69">
        <f t="shared" si="0"/>
        <v>4787</v>
      </c>
    </row>
    <row r="39" spans="1:17" ht="13.2" x14ac:dyDescent="0.25">
      <c r="A39" s="24"/>
      <c r="B39" s="25" t="s">
        <v>67</v>
      </c>
      <c r="C39" s="22">
        <v>149</v>
      </c>
      <c r="D39" s="22">
        <v>152</v>
      </c>
      <c r="E39" s="22">
        <v>153</v>
      </c>
      <c r="F39" s="22">
        <v>153</v>
      </c>
      <c r="G39" s="22">
        <v>153</v>
      </c>
      <c r="H39" s="22">
        <v>153</v>
      </c>
      <c r="I39" s="22">
        <v>154</v>
      </c>
      <c r="J39" s="22">
        <v>154</v>
      </c>
      <c r="K39" s="22">
        <v>155</v>
      </c>
      <c r="L39" s="22">
        <v>155</v>
      </c>
      <c r="M39" s="22">
        <v>156</v>
      </c>
      <c r="N39" s="22">
        <v>156</v>
      </c>
      <c r="O39" s="22">
        <v>156</v>
      </c>
      <c r="P39" s="23">
        <v>3.8331361889960558E-3</v>
      </c>
      <c r="Q39" s="69">
        <f t="shared" ref="Q39:Q70" si="1">SUM(C39:O39)</f>
        <v>1999</v>
      </c>
    </row>
    <row r="40" spans="1:17" ht="13.2" x14ac:dyDescent="0.25">
      <c r="A40" s="24"/>
      <c r="B40" s="25" t="s">
        <v>68</v>
      </c>
      <c r="C40" s="22">
        <v>1151</v>
      </c>
      <c r="D40" s="22">
        <v>1177</v>
      </c>
      <c r="E40" s="22">
        <v>1183</v>
      </c>
      <c r="F40" s="22">
        <v>1184</v>
      </c>
      <c r="G40" s="22">
        <v>1185</v>
      </c>
      <c r="H40" s="22">
        <v>1187</v>
      </c>
      <c r="I40" s="22">
        <v>1190</v>
      </c>
      <c r="J40" s="22">
        <v>1192</v>
      </c>
      <c r="K40" s="22">
        <v>1199</v>
      </c>
      <c r="L40" s="22">
        <v>1203</v>
      </c>
      <c r="M40" s="22">
        <v>1205</v>
      </c>
      <c r="N40" s="22">
        <v>1209</v>
      </c>
      <c r="O40" s="22">
        <v>1210</v>
      </c>
      <c r="P40" s="23">
        <v>4.1744580331677383E-3</v>
      </c>
      <c r="Q40" s="69">
        <f t="shared" si="1"/>
        <v>15475</v>
      </c>
    </row>
    <row r="41" spans="1:17" ht="13.2" x14ac:dyDescent="0.25">
      <c r="A41" s="24"/>
      <c r="B41" s="25" t="s">
        <v>69</v>
      </c>
      <c r="C41" s="22">
        <v>76</v>
      </c>
      <c r="D41" s="22">
        <v>77</v>
      </c>
      <c r="E41" s="22">
        <v>78</v>
      </c>
      <c r="F41" s="22">
        <v>78</v>
      </c>
      <c r="G41" s="22">
        <v>78</v>
      </c>
      <c r="H41" s="22">
        <v>78</v>
      </c>
      <c r="I41" s="22">
        <v>78</v>
      </c>
      <c r="J41" s="22">
        <v>78</v>
      </c>
      <c r="K41" s="22">
        <v>79</v>
      </c>
      <c r="L41" s="22">
        <v>79</v>
      </c>
      <c r="M41" s="22">
        <v>79</v>
      </c>
      <c r="N41" s="22">
        <v>80</v>
      </c>
      <c r="O41" s="22">
        <v>80</v>
      </c>
      <c r="P41" s="23">
        <v>4.283589652942732E-3</v>
      </c>
      <c r="Q41" s="69">
        <f t="shared" si="1"/>
        <v>1018</v>
      </c>
    </row>
    <row r="42" spans="1:17" ht="13.2" x14ac:dyDescent="0.25">
      <c r="A42" s="24"/>
      <c r="B42" s="25" t="s">
        <v>70</v>
      </c>
      <c r="C42" s="22">
        <v>2232</v>
      </c>
      <c r="D42" s="22">
        <v>2282</v>
      </c>
      <c r="E42" s="22">
        <v>2295</v>
      </c>
      <c r="F42" s="22">
        <v>2295</v>
      </c>
      <c r="G42" s="22">
        <v>2299</v>
      </c>
      <c r="H42" s="22">
        <v>2301</v>
      </c>
      <c r="I42" s="22">
        <v>2307</v>
      </c>
      <c r="J42" s="22">
        <v>2311</v>
      </c>
      <c r="K42" s="22">
        <v>2325</v>
      </c>
      <c r="L42" s="22">
        <v>2332</v>
      </c>
      <c r="M42" s="22">
        <v>2337</v>
      </c>
      <c r="N42" s="22">
        <v>2345</v>
      </c>
      <c r="O42" s="22">
        <v>2347</v>
      </c>
      <c r="P42" s="23">
        <v>4.1954323169968166E-3</v>
      </c>
      <c r="Q42" s="69">
        <f t="shared" si="1"/>
        <v>30008</v>
      </c>
    </row>
    <row r="43" spans="1:17" ht="13.2" x14ac:dyDescent="0.25">
      <c r="A43" s="24"/>
      <c r="B43" s="25" t="s">
        <v>35</v>
      </c>
      <c r="C43" s="22">
        <v>1156</v>
      </c>
      <c r="D43" s="22">
        <v>1182</v>
      </c>
      <c r="E43" s="22">
        <v>1189</v>
      </c>
      <c r="F43" s="22">
        <v>1189</v>
      </c>
      <c r="G43" s="22">
        <v>1191</v>
      </c>
      <c r="H43" s="22">
        <v>1192</v>
      </c>
      <c r="I43" s="22">
        <v>1195</v>
      </c>
      <c r="J43" s="22">
        <v>1197</v>
      </c>
      <c r="K43" s="22">
        <v>1204</v>
      </c>
      <c r="L43" s="22">
        <v>1208</v>
      </c>
      <c r="M43" s="22">
        <v>1211</v>
      </c>
      <c r="N43" s="22">
        <v>1215</v>
      </c>
      <c r="O43" s="22">
        <v>1216</v>
      </c>
      <c r="P43" s="23">
        <v>4.2256541122878133E-3</v>
      </c>
      <c r="Q43" s="69">
        <f t="shared" si="1"/>
        <v>15545</v>
      </c>
    </row>
    <row r="44" spans="1:17" ht="13.2" x14ac:dyDescent="0.25">
      <c r="A44" s="24"/>
      <c r="B44" s="25" t="s">
        <v>71</v>
      </c>
      <c r="C44" s="22">
        <v>2110</v>
      </c>
      <c r="D44" s="22">
        <v>5001</v>
      </c>
      <c r="E44" s="22">
        <v>5001</v>
      </c>
      <c r="F44" s="22">
        <v>5001</v>
      </c>
      <c r="G44" s="22">
        <v>5001</v>
      </c>
      <c r="H44" s="22">
        <v>5001</v>
      </c>
      <c r="I44" s="22">
        <v>5001</v>
      </c>
      <c r="J44" s="22">
        <v>5001</v>
      </c>
      <c r="K44" s="22">
        <v>5001</v>
      </c>
      <c r="L44" s="22">
        <v>5001</v>
      </c>
      <c r="M44" s="22">
        <v>5001</v>
      </c>
      <c r="N44" s="22">
        <v>5001</v>
      </c>
      <c r="O44" s="22">
        <v>5001</v>
      </c>
      <c r="P44" s="23">
        <v>7.4561310905344902E-2</v>
      </c>
      <c r="Q44" s="69">
        <f t="shared" si="1"/>
        <v>62122</v>
      </c>
    </row>
    <row r="45" spans="1:17" ht="13.2" x14ac:dyDescent="0.25">
      <c r="A45" s="24"/>
      <c r="B45" s="25" t="s">
        <v>72</v>
      </c>
      <c r="C45" s="22">
        <v>2400</v>
      </c>
      <c r="D45" s="22">
        <v>2454</v>
      </c>
      <c r="E45" s="22">
        <v>2468</v>
      </c>
      <c r="F45" s="22">
        <v>2468</v>
      </c>
      <c r="G45" s="22">
        <v>2472</v>
      </c>
      <c r="H45" s="22">
        <v>2474</v>
      </c>
      <c r="I45" s="22">
        <v>2480</v>
      </c>
      <c r="J45" s="22">
        <v>2485</v>
      </c>
      <c r="K45" s="22">
        <v>2500</v>
      </c>
      <c r="L45" s="22">
        <v>2507</v>
      </c>
      <c r="M45" s="22">
        <v>2513</v>
      </c>
      <c r="N45" s="22">
        <v>2521</v>
      </c>
      <c r="O45" s="22">
        <v>2524</v>
      </c>
      <c r="P45" s="23">
        <v>4.2068412950906353E-3</v>
      </c>
      <c r="Q45" s="69">
        <f t="shared" si="1"/>
        <v>32266</v>
      </c>
    </row>
    <row r="46" spans="1:17" ht="13.2" x14ac:dyDescent="0.25">
      <c r="A46" s="24"/>
      <c r="B46" s="25" t="s">
        <v>73</v>
      </c>
      <c r="C46" s="22">
        <v>153</v>
      </c>
      <c r="D46" s="22">
        <v>156</v>
      </c>
      <c r="E46" s="22">
        <v>157</v>
      </c>
      <c r="F46" s="22">
        <v>157</v>
      </c>
      <c r="G46" s="22">
        <v>158</v>
      </c>
      <c r="H46" s="22">
        <v>158</v>
      </c>
      <c r="I46" s="22">
        <v>158</v>
      </c>
      <c r="J46" s="22">
        <v>158</v>
      </c>
      <c r="K46" s="22">
        <v>159</v>
      </c>
      <c r="L46" s="22">
        <v>160</v>
      </c>
      <c r="M46" s="22">
        <v>160</v>
      </c>
      <c r="N46" s="22">
        <v>161</v>
      </c>
      <c r="O46" s="22">
        <v>161</v>
      </c>
      <c r="P46" s="23">
        <v>4.2562357846200882E-3</v>
      </c>
      <c r="Q46" s="69">
        <f t="shared" si="1"/>
        <v>2056</v>
      </c>
    </row>
    <row r="47" spans="1:17" ht="13.2" x14ac:dyDescent="0.25">
      <c r="A47" s="24"/>
      <c r="B47" s="25" t="s">
        <v>74</v>
      </c>
      <c r="C47" s="22">
        <v>75723</v>
      </c>
      <c r="D47" s="22">
        <v>74458</v>
      </c>
      <c r="E47" s="22">
        <v>74529</v>
      </c>
      <c r="F47" s="22">
        <v>74530</v>
      </c>
      <c r="G47" s="22">
        <v>74675</v>
      </c>
      <c r="H47" s="22">
        <v>74764</v>
      </c>
      <c r="I47" s="22">
        <v>74981</v>
      </c>
      <c r="J47" s="22">
        <v>75146</v>
      </c>
      <c r="K47" s="22">
        <v>75696</v>
      </c>
      <c r="L47" s="22">
        <v>75990</v>
      </c>
      <c r="M47" s="22">
        <v>76187</v>
      </c>
      <c r="N47" s="22">
        <v>76496</v>
      </c>
      <c r="O47" s="22">
        <v>76575</v>
      </c>
      <c r="P47" s="23">
        <v>9.32827105422529E-4</v>
      </c>
      <c r="Q47" s="69">
        <f t="shared" si="1"/>
        <v>979750</v>
      </c>
    </row>
    <row r="48" spans="1:17" ht="13.2" x14ac:dyDescent="0.25">
      <c r="A48" s="24"/>
      <c r="B48" s="25" t="s">
        <v>75</v>
      </c>
      <c r="C48" s="22">
        <v>11469</v>
      </c>
      <c r="D48" s="22">
        <v>11710</v>
      </c>
      <c r="E48" s="22">
        <v>11710</v>
      </c>
      <c r="F48" s="22">
        <v>11710</v>
      </c>
      <c r="G48" s="22">
        <v>11710</v>
      </c>
      <c r="H48" s="22">
        <v>11710</v>
      </c>
      <c r="I48" s="22">
        <v>11710</v>
      </c>
      <c r="J48" s="22">
        <v>11710</v>
      </c>
      <c r="K48" s="22">
        <v>11710</v>
      </c>
      <c r="L48" s="22">
        <v>11710</v>
      </c>
      <c r="M48" s="22">
        <v>11710</v>
      </c>
      <c r="N48" s="22">
        <v>11710</v>
      </c>
      <c r="O48" s="22">
        <v>11710</v>
      </c>
      <c r="P48" s="23">
        <v>1.7344552828191251E-3</v>
      </c>
      <c r="Q48" s="69">
        <f t="shared" si="1"/>
        <v>151989</v>
      </c>
    </row>
    <row r="49" spans="1:17" ht="13.2" x14ac:dyDescent="0.25">
      <c r="A49" s="24"/>
      <c r="B49" s="25" t="s">
        <v>157</v>
      </c>
      <c r="C49" s="22">
        <v>0</v>
      </c>
      <c r="D49" s="22">
        <v>128</v>
      </c>
      <c r="E49" s="22">
        <v>576</v>
      </c>
      <c r="F49" s="22">
        <v>580</v>
      </c>
      <c r="G49" s="22">
        <v>583</v>
      </c>
      <c r="H49" s="22">
        <v>587</v>
      </c>
      <c r="I49" s="22">
        <v>590</v>
      </c>
      <c r="J49" s="22">
        <v>594</v>
      </c>
      <c r="K49" s="22">
        <v>597</v>
      </c>
      <c r="L49" s="22">
        <v>601</v>
      </c>
      <c r="M49" s="22">
        <v>604</v>
      </c>
      <c r="N49" s="22">
        <v>609</v>
      </c>
      <c r="O49" s="22">
        <v>612</v>
      </c>
      <c r="P49" s="73" t="s">
        <v>158</v>
      </c>
      <c r="Q49" s="69">
        <f t="shared" si="1"/>
        <v>6661</v>
      </c>
    </row>
    <row r="50" spans="1:17" ht="13.2" x14ac:dyDescent="0.25">
      <c r="A50" s="24"/>
      <c r="B50" s="25" t="s">
        <v>76</v>
      </c>
      <c r="C50" s="22">
        <v>77</v>
      </c>
      <c r="D50" s="22">
        <v>79</v>
      </c>
      <c r="E50" s="22">
        <v>79</v>
      </c>
      <c r="F50" s="22">
        <v>79</v>
      </c>
      <c r="G50" s="22">
        <v>79</v>
      </c>
      <c r="H50" s="22">
        <v>79</v>
      </c>
      <c r="I50" s="22">
        <v>80</v>
      </c>
      <c r="J50" s="22">
        <v>80</v>
      </c>
      <c r="K50" s="22">
        <v>80</v>
      </c>
      <c r="L50" s="22">
        <v>80</v>
      </c>
      <c r="M50" s="22">
        <v>81</v>
      </c>
      <c r="N50" s="22">
        <v>81</v>
      </c>
      <c r="O50" s="22">
        <v>81</v>
      </c>
      <c r="P50" s="23">
        <v>4.2292291222263412E-3</v>
      </c>
      <c r="Q50" s="69">
        <f t="shared" si="1"/>
        <v>1035</v>
      </c>
    </row>
    <row r="51" spans="1:17" ht="13.2" x14ac:dyDescent="0.25">
      <c r="A51" s="21" t="s">
        <v>77</v>
      </c>
      <c r="B51" s="27"/>
      <c r="C51" s="22">
        <v>100036</v>
      </c>
      <c r="D51" s="22">
        <v>102269</v>
      </c>
      <c r="E51" s="22">
        <v>102850</v>
      </c>
      <c r="F51" s="22">
        <v>102856</v>
      </c>
      <c r="G51" s="22">
        <v>103022</v>
      </c>
      <c r="H51" s="22">
        <v>103125</v>
      </c>
      <c r="I51" s="22">
        <v>103374</v>
      </c>
      <c r="J51" s="22">
        <v>103563</v>
      </c>
      <c r="K51" s="22">
        <v>104182</v>
      </c>
      <c r="L51" s="22">
        <v>104514</v>
      </c>
      <c r="M51" s="22">
        <v>104740</v>
      </c>
      <c r="N51" s="22">
        <v>105091</v>
      </c>
      <c r="O51" s="22">
        <v>105182</v>
      </c>
      <c r="P51" s="23">
        <v>4.1889209214343026E-3</v>
      </c>
      <c r="Q51" s="69">
        <f t="shared" si="1"/>
        <v>1344804</v>
      </c>
    </row>
    <row r="52" spans="1:17" ht="13.2" x14ac:dyDescent="0.25">
      <c r="A52" s="21" t="s">
        <v>78</v>
      </c>
      <c r="B52" s="28" t="s">
        <v>79</v>
      </c>
      <c r="C52" s="22">
        <v>16653</v>
      </c>
      <c r="D52" s="22">
        <v>16583</v>
      </c>
      <c r="E52" s="22">
        <v>16460</v>
      </c>
      <c r="F52" s="22">
        <v>16570</v>
      </c>
      <c r="G52" s="22">
        <v>16598</v>
      </c>
      <c r="H52" s="22">
        <v>16645</v>
      </c>
      <c r="I52" s="22">
        <v>16684</v>
      </c>
      <c r="J52" s="22">
        <v>16763</v>
      </c>
      <c r="K52" s="22">
        <v>16913</v>
      </c>
      <c r="L52" s="22">
        <v>16984</v>
      </c>
      <c r="M52" s="22">
        <v>17057</v>
      </c>
      <c r="N52" s="22">
        <v>17123</v>
      </c>
      <c r="O52" s="22">
        <v>17189</v>
      </c>
      <c r="P52" s="23">
        <v>2.643426370667612E-3</v>
      </c>
      <c r="Q52" s="69">
        <f t="shared" si="1"/>
        <v>218222</v>
      </c>
    </row>
    <row r="53" spans="1:17" ht="13.2" x14ac:dyDescent="0.25">
      <c r="A53" s="29"/>
      <c r="B53" s="25" t="s">
        <v>80</v>
      </c>
      <c r="C53" s="22">
        <v>3463</v>
      </c>
      <c r="D53" s="22">
        <v>3448</v>
      </c>
      <c r="E53" s="22">
        <v>3423</v>
      </c>
      <c r="F53" s="22">
        <v>3445</v>
      </c>
      <c r="G53" s="22">
        <v>3451</v>
      </c>
      <c r="H53" s="22">
        <v>3461</v>
      </c>
      <c r="I53" s="22">
        <v>3469</v>
      </c>
      <c r="J53" s="22">
        <v>3486</v>
      </c>
      <c r="K53" s="22">
        <v>3517</v>
      </c>
      <c r="L53" s="22">
        <v>3532</v>
      </c>
      <c r="M53" s="22">
        <v>3547</v>
      </c>
      <c r="N53" s="22">
        <v>3560</v>
      </c>
      <c r="O53" s="22">
        <v>3562</v>
      </c>
      <c r="P53" s="23">
        <v>2.3516708041575463E-3</v>
      </c>
      <c r="Q53" s="69">
        <f t="shared" si="1"/>
        <v>45364</v>
      </c>
    </row>
    <row r="54" spans="1:17" ht="13.2" x14ac:dyDescent="0.25">
      <c r="A54" s="21" t="s">
        <v>81</v>
      </c>
      <c r="B54" s="27"/>
      <c r="C54" s="22">
        <v>20116</v>
      </c>
      <c r="D54" s="22">
        <v>20031</v>
      </c>
      <c r="E54" s="22">
        <v>19883</v>
      </c>
      <c r="F54" s="22">
        <v>20015</v>
      </c>
      <c r="G54" s="22">
        <v>20049</v>
      </c>
      <c r="H54" s="22">
        <v>20106</v>
      </c>
      <c r="I54" s="22">
        <v>20153</v>
      </c>
      <c r="J54" s="22">
        <v>20249</v>
      </c>
      <c r="K54" s="22">
        <v>20430</v>
      </c>
      <c r="L54" s="22">
        <v>20516</v>
      </c>
      <c r="M54" s="22">
        <v>20604</v>
      </c>
      <c r="N54" s="22">
        <v>20683</v>
      </c>
      <c r="O54" s="22">
        <v>20751</v>
      </c>
      <c r="P54" s="23">
        <v>2.5932667122059438E-3</v>
      </c>
      <c r="Q54" s="69">
        <f t="shared" si="1"/>
        <v>263586</v>
      </c>
    </row>
    <row r="55" spans="1:17" ht="13.2" x14ac:dyDescent="0.25">
      <c r="A55" s="21" t="s">
        <v>82</v>
      </c>
      <c r="B55" s="28" t="s">
        <v>83</v>
      </c>
      <c r="C55" s="22">
        <v>768</v>
      </c>
      <c r="D55" s="22">
        <v>779</v>
      </c>
      <c r="E55" s="22">
        <v>786</v>
      </c>
      <c r="F55" s="22">
        <v>795</v>
      </c>
      <c r="G55" s="22">
        <v>802</v>
      </c>
      <c r="H55" s="22">
        <v>810</v>
      </c>
      <c r="I55" s="22">
        <v>818</v>
      </c>
      <c r="J55" s="22">
        <v>827</v>
      </c>
      <c r="K55" s="22">
        <v>837</v>
      </c>
      <c r="L55" s="22">
        <v>846</v>
      </c>
      <c r="M55" s="22">
        <v>855</v>
      </c>
      <c r="N55" s="22">
        <v>864</v>
      </c>
      <c r="O55" s="22">
        <v>872</v>
      </c>
      <c r="P55" s="23">
        <v>1.063950885312992E-2</v>
      </c>
      <c r="Q55" s="69">
        <f t="shared" si="1"/>
        <v>10659</v>
      </c>
    </row>
    <row r="56" spans="1:17" ht="13.2" x14ac:dyDescent="0.25">
      <c r="A56" s="25"/>
      <c r="B56" s="25" t="s">
        <v>84</v>
      </c>
      <c r="C56" s="22">
        <v>1222</v>
      </c>
      <c r="D56" s="22">
        <v>1239</v>
      </c>
      <c r="E56" s="22">
        <v>1251</v>
      </c>
      <c r="F56" s="22">
        <v>1265</v>
      </c>
      <c r="G56" s="22">
        <v>1276</v>
      </c>
      <c r="H56" s="22">
        <v>1289</v>
      </c>
      <c r="I56" s="22">
        <v>1302</v>
      </c>
      <c r="J56" s="22">
        <v>1316</v>
      </c>
      <c r="K56" s="22">
        <v>1331</v>
      </c>
      <c r="L56" s="22">
        <v>1346</v>
      </c>
      <c r="M56" s="22">
        <v>1361</v>
      </c>
      <c r="N56" s="22">
        <v>1374</v>
      </c>
      <c r="O56" s="22">
        <v>1387</v>
      </c>
      <c r="P56" s="23">
        <v>1.0610418840742764E-2</v>
      </c>
      <c r="Q56" s="69">
        <f t="shared" si="1"/>
        <v>16959</v>
      </c>
    </row>
    <row r="57" spans="1:17" ht="13.2" x14ac:dyDescent="0.25">
      <c r="A57" s="24"/>
      <c r="B57" s="25" t="s">
        <v>85</v>
      </c>
      <c r="C57" s="22">
        <v>182</v>
      </c>
      <c r="D57" s="22">
        <v>184</v>
      </c>
      <c r="E57" s="22">
        <v>186</v>
      </c>
      <c r="F57" s="22">
        <v>188</v>
      </c>
      <c r="G57" s="22">
        <v>189</v>
      </c>
      <c r="H57" s="22">
        <v>191</v>
      </c>
      <c r="I57" s="22">
        <v>193</v>
      </c>
      <c r="J57" s="22">
        <v>195</v>
      </c>
      <c r="K57" s="22">
        <v>198</v>
      </c>
      <c r="L57" s="22">
        <v>200</v>
      </c>
      <c r="M57" s="22">
        <v>202</v>
      </c>
      <c r="N57" s="22">
        <v>204</v>
      </c>
      <c r="O57" s="22">
        <v>206</v>
      </c>
      <c r="P57" s="23">
        <v>1.0375917155720504E-2</v>
      </c>
      <c r="Q57" s="69">
        <f t="shared" si="1"/>
        <v>2518</v>
      </c>
    </row>
    <row r="58" spans="1:17" ht="13.2" x14ac:dyDescent="0.25">
      <c r="A58" s="24"/>
      <c r="B58" s="25" t="s">
        <v>86</v>
      </c>
      <c r="C58" s="22">
        <v>490</v>
      </c>
      <c r="D58" s="22">
        <v>499</v>
      </c>
      <c r="E58" s="22">
        <v>504</v>
      </c>
      <c r="F58" s="22">
        <v>510</v>
      </c>
      <c r="G58" s="22">
        <v>514</v>
      </c>
      <c r="H58" s="22">
        <v>519</v>
      </c>
      <c r="I58" s="22">
        <v>523</v>
      </c>
      <c r="J58" s="22">
        <v>529</v>
      </c>
      <c r="K58" s="22">
        <v>534</v>
      </c>
      <c r="L58" s="22">
        <v>540</v>
      </c>
      <c r="M58" s="22">
        <v>546</v>
      </c>
      <c r="N58" s="22">
        <v>551</v>
      </c>
      <c r="O58" s="22">
        <v>557</v>
      </c>
      <c r="P58" s="23">
        <v>1.0737222040940297E-2</v>
      </c>
      <c r="Q58" s="69">
        <f t="shared" si="1"/>
        <v>6816</v>
      </c>
    </row>
    <row r="59" spans="1:17" ht="13.2" x14ac:dyDescent="0.25">
      <c r="A59" s="24"/>
      <c r="B59" s="25" t="s">
        <v>0</v>
      </c>
      <c r="C59" s="22">
        <v>2561</v>
      </c>
      <c r="D59" s="22">
        <v>2595</v>
      </c>
      <c r="E59" s="22">
        <v>2621</v>
      </c>
      <c r="F59" s="22">
        <v>2650</v>
      </c>
      <c r="G59" s="22">
        <v>2673</v>
      </c>
      <c r="H59" s="22">
        <v>2699</v>
      </c>
      <c r="I59" s="22">
        <v>2728</v>
      </c>
      <c r="J59" s="22">
        <v>2757</v>
      </c>
      <c r="K59" s="22">
        <v>2789</v>
      </c>
      <c r="L59" s="22">
        <v>2820</v>
      </c>
      <c r="M59" s="22">
        <v>2851</v>
      </c>
      <c r="N59" s="22">
        <v>2879</v>
      </c>
      <c r="O59" s="22">
        <v>2906</v>
      </c>
      <c r="P59" s="23">
        <v>1.0587299484116963E-2</v>
      </c>
      <c r="Q59" s="69">
        <f t="shared" si="1"/>
        <v>35529</v>
      </c>
    </row>
    <row r="60" spans="1:17" ht="13.2" x14ac:dyDescent="0.25">
      <c r="A60" s="24"/>
      <c r="B60" s="25" t="s">
        <v>87</v>
      </c>
      <c r="C60" s="22">
        <v>10573</v>
      </c>
      <c r="D60" s="22">
        <v>10781</v>
      </c>
      <c r="E60" s="22">
        <v>10941</v>
      </c>
      <c r="F60" s="22">
        <v>11116</v>
      </c>
      <c r="G60" s="22">
        <v>11230</v>
      </c>
      <c r="H60" s="22">
        <v>11344</v>
      </c>
      <c r="I60" s="22">
        <v>11448</v>
      </c>
      <c r="J60" s="22">
        <v>11542</v>
      </c>
      <c r="K60" s="22">
        <v>11643</v>
      </c>
      <c r="L60" s="22">
        <v>11740</v>
      </c>
      <c r="M60" s="22">
        <v>11839</v>
      </c>
      <c r="N60" s="22">
        <v>11929</v>
      </c>
      <c r="O60" s="22">
        <v>12016</v>
      </c>
      <c r="P60" s="23">
        <v>1.0718326859906258E-2</v>
      </c>
      <c r="Q60" s="69">
        <f t="shared" si="1"/>
        <v>148142</v>
      </c>
    </row>
    <row r="61" spans="1:17" ht="13.2" x14ac:dyDescent="0.25">
      <c r="A61" s="74"/>
      <c r="B61" s="25" t="s">
        <v>33</v>
      </c>
      <c r="C61" s="22">
        <v>1969</v>
      </c>
      <c r="D61" s="22">
        <v>2006</v>
      </c>
      <c r="E61" s="22">
        <v>2024</v>
      </c>
      <c r="F61" s="22">
        <v>2047</v>
      </c>
      <c r="G61" s="22">
        <v>2065</v>
      </c>
      <c r="H61" s="22">
        <v>2082</v>
      </c>
      <c r="I61" s="22">
        <v>2102</v>
      </c>
      <c r="J61" s="22">
        <v>2123</v>
      </c>
      <c r="K61" s="22">
        <v>2146</v>
      </c>
      <c r="L61" s="22">
        <v>2170</v>
      </c>
      <c r="M61" s="22">
        <v>2193</v>
      </c>
      <c r="N61" s="22">
        <v>2214</v>
      </c>
      <c r="O61" s="22">
        <v>2237</v>
      </c>
      <c r="P61" s="23">
        <v>1.0690900512554613E-2</v>
      </c>
      <c r="Q61" s="69">
        <f t="shared" si="1"/>
        <v>27378</v>
      </c>
    </row>
    <row r="62" spans="1:17" ht="13.2" x14ac:dyDescent="0.25">
      <c r="A62" s="24"/>
      <c r="B62" s="25" t="s">
        <v>88</v>
      </c>
      <c r="C62" s="22">
        <v>430</v>
      </c>
      <c r="D62" s="22">
        <v>436</v>
      </c>
      <c r="E62" s="22">
        <v>440</v>
      </c>
      <c r="F62" s="22">
        <v>445</v>
      </c>
      <c r="G62" s="22">
        <v>449</v>
      </c>
      <c r="H62" s="22">
        <v>454</v>
      </c>
      <c r="I62" s="22">
        <v>458</v>
      </c>
      <c r="J62" s="22">
        <v>463</v>
      </c>
      <c r="K62" s="22">
        <v>469</v>
      </c>
      <c r="L62" s="22">
        <v>474</v>
      </c>
      <c r="M62" s="22">
        <v>479</v>
      </c>
      <c r="N62" s="22">
        <v>484</v>
      </c>
      <c r="O62" s="22">
        <v>488</v>
      </c>
      <c r="P62" s="23">
        <v>1.0599968895204981E-2</v>
      </c>
      <c r="Q62" s="69">
        <f t="shared" si="1"/>
        <v>5969</v>
      </c>
    </row>
    <row r="63" spans="1:17" ht="13.2" x14ac:dyDescent="0.25">
      <c r="A63" s="21" t="s">
        <v>89</v>
      </c>
      <c r="B63" s="27"/>
      <c r="C63" s="22">
        <v>18195</v>
      </c>
      <c r="D63" s="22">
        <v>18519</v>
      </c>
      <c r="E63" s="22">
        <v>18753</v>
      </c>
      <c r="F63" s="22">
        <v>19016</v>
      </c>
      <c r="G63" s="22">
        <v>19198</v>
      </c>
      <c r="H63" s="22">
        <v>19388</v>
      </c>
      <c r="I63" s="22">
        <v>19572</v>
      </c>
      <c r="J63" s="22">
        <v>19752</v>
      </c>
      <c r="K63" s="22">
        <v>19947</v>
      </c>
      <c r="L63" s="22">
        <v>20136</v>
      </c>
      <c r="M63" s="22">
        <v>20326</v>
      </c>
      <c r="N63" s="22">
        <v>20499</v>
      </c>
      <c r="O63" s="22">
        <v>20669</v>
      </c>
      <c r="P63" s="23">
        <v>1.0680648732118048E-2</v>
      </c>
      <c r="Q63" s="69">
        <f t="shared" si="1"/>
        <v>253970</v>
      </c>
    </row>
    <row r="64" spans="1:17" ht="13.2" x14ac:dyDescent="0.25">
      <c r="A64" s="21" t="s">
        <v>7</v>
      </c>
      <c r="B64" s="21" t="s">
        <v>90</v>
      </c>
      <c r="C64" s="22">
        <v>23455</v>
      </c>
      <c r="D64" s="22">
        <v>23081</v>
      </c>
      <c r="E64" s="22">
        <v>23134</v>
      </c>
      <c r="F64" s="22">
        <v>23230</v>
      </c>
      <c r="G64" s="22">
        <v>23285</v>
      </c>
      <c r="H64" s="22">
        <v>23428</v>
      </c>
      <c r="I64" s="22">
        <v>23629</v>
      </c>
      <c r="J64" s="22">
        <v>23827</v>
      </c>
      <c r="K64" s="22">
        <v>24048</v>
      </c>
      <c r="L64" s="22">
        <v>24246</v>
      </c>
      <c r="M64" s="22">
        <v>24468</v>
      </c>
      <c r="N64" s="22">
        <v>24685</v>
      </c>
      <c r="O64" s="22">
        <v>24914</v>
      </c>
      <c r="P64" s="23">
        <v>5.0415161136299069E-3</v>
      </c>
      <c r="Q64" s="69">
        <f t="shared" si="1"/>
        <v>309430</v>
      </c>
    </row>
    <row r="65" spans="1:17" ht="13.2" x14ac:dyDescent="0.25">
      <c r="A65" s="21" t="s">
        <v>91</v>
      </c>
      <c r="B65" s="21" t="s">
        <v>92</v>
      </c>
      <c r="C65" s="22">
        <v>1132</v>
      </c>
      <c r="D65" s="22">
        <v>1115</v>
      </c>
      <c r="E65" s="22">
        <v>1116</v>
      </c>
      <c r="F65" s="22">
        <v>1121</v>
      </c>
      <c r="G65" s="22">
        <v>1126</v>
      </c>
      <c r="H65" s="22">
        <v>1130</v>
      </c>
      <c r="I65" s="22">
        <v>1135</v>
      </c>
      <c r="J65" s="22">
        <v>1141</v>
      </c>
      <c r="K65" s="22">
        <v>1151</v>
      </c>
      <c r="L65" s="22">
        <v>1156</v>
      </c>
      <c r="M65" s="22">
        <v>1160</v>
      </c>
      <c r="N65" s="22">
        <v>1165</v>
      </c>
      <c r="O65" s="22">
        <v>1167</v>
      </c>
      <c r="P65" s="23">
        <v>2.540753384011829E-3</v>
      </c>
      <c r="Q65" s="69">
        <f t="shared" si="1"/>
        <v>14815</v>
      </c>
    </row>
    <row r="66" spans="1:17" ht="13.2" x14ac:dyDescent="0.25">
      <c r="A66" s="24"/>
      <c r="B66" s="25" t="s">
        <v>93</v>
      </c>
      <c r="C66" s="22">
        <v>1112</v>
      </c>
      <c r="D66" s="22">
        <v>1096</v>
      </c>
      <c r="E66" s="22">
        <v>1097</v>
      </c>
      <c r="F66" s="22">
        <v>1102</v>
      </c>
      <c r="G66" s="22">
        <v>1107</v>
      </c>
      <c r="H66" s="22">
        <v>1111</v>
      </c>
      <c r="I66" s="22">
        <v>1115</v>
      </c>
      <c r="J66" s="22">
        <v>1121</v>
      </c>
      <c r="K66" s="22">
        <v>1131</v>
      </c>
      <c r="L66" s="22">
        <v>1136</v>
      </c>
      <c r="M66" s="22">
        <v>1139</v>
      </c>
      <c r="N66" s="22">
        <v>1144</v>
      </c>
      <c r="O66" s="22">
        <v>1146</v>
      </c>
      <c r="P66" s="23">
        <v>2.5129373527543741E-3</v>
      </c>
      <c r="Q66" s="69">
        <f t="shared" si="1"/>
        <v>14557</v>
      </c>
    </row>
    <row r="67" spans="1:17" ht="13.2" x14ac:dyDescent="0.25">
      <c r="A67" s="21" t="s">
        <v>94</v>
      </c>
      <c r="B67" s="27"/>
      <c r="C67" s="22">
        <v>2244</v>
      </c>
      <c r="D67" s="22">
        <v>2211</v>
      </c>
      <c r="E67" s="22">
        <v>2213</v>
      </c>
      <c r="F67" s="22">
        <v>2223</v>
      </c>
      <c r="G67" s="22">
        <v>2233</v>
      </c>
      <c r="H67" s="22">
        <v>2241</v>
      </c>
      <c r="I67" s="22">
        <v>2250</v>
      </c>
      <c r="J67" s="22">
        <v>2262</v>
      </c>
      <c r="K67" s="22">
        <v>2282</v>
      </c>
      <c r="L67" s="22">
        <v>2292</v>
      </c>
      <c r="M67" s="22">
        <v>2299</v>
      </c>
      <c r="N67" s="22">
        <v>2309</v>
      </c>
      <c r="O67" s="22">
        <v>2313</v>
      </c>
      <c r="P67" s="23">
        <v>2.5269703868557869E-3</v>
      </c>
      <c r="Q67" s="69">
        <f t="shared" si="1"/>
        <v>29372</v>
      </c>
    </row>
    <row r="68" spans="1:17" ht="13.2" x14ac:dyDescent="0.25">
      <c r="A68" s="21" t="s">
        <v>95</v>
      </c>
      <c r="B68" s="21" t="s">
        <v>6</v>
      </c>
      <c r="C68" s="22">
        <v>3392</v>
      </c>
      <c r="D68" s="22">
        <v>3369</v>
      </c>
      <c r="E68" s="22">
        <v>3433</v>
      </c>
      <c r="F68" s="22">
        <v>3478</v>
      </c>
      <c r="G68" s="22">
        <v>3521</v>
      </c>
      <c r="H68" s="22">
        <v>3570</v>
      </c>
      <c r="I68" s="22">
        <v>3625</v>
      </c>
      <c r="J68" s="22">
        <v>3682</v>
      </c>
      <c r="K68" s="22">
        <v>3751</v>
      </c>
      <c r="L68" s="22">
        <v>3815</v>
      </c>
      <c r="M68" s="22">
        <v>3877</v>
      </c>
      <c r="N68" s="22">
        <v>3941</v>
      </c>
      <c r="O68" s="22">
        <v>3997</v>
      </c>
      <c r="P68" s="23">
        <v>1.3770988595654288E-2</v>
      </c>
      <c r="Q68" s="69">
        <f t="shared" si="1"/>
        <v>47451</v>
      </c>
    </row>
    <row r="69" spans="1:17" ht="13.2" x14ac:dyDescent="0.25">
      <c r="A69" s="21" t="s">
        <v>96</v>
      </c>
      <c r="B69" s="75" t="s">
        <v>30</v>
      </c>
      <c r="C69" s="22">
        <v>11</v>
      </c>
      <c r="D69" s="22">
        <v>10</v>
      </c>
      <c r="E69" s="22">
        <v>11</v>
      </c>
      <c r="F69" s="22">
        <v>11</v>
      </c>
      <c r="G69" s="22">
        <v>11</v>
      </c>
      <c r="H69" s="22">
        <v>11</v>
      </c>
      <c r="I69" s="22">
        <v>11</v>
      </c>
      <c r="J69" s="22">
        <v>11</v>
      </c>
      <c r="K69" s="22">
        <v>11</v>
      </c>
      <c r="L69" s="22">
        <v>12</v>
      </c>
      <c r="M69" s="22">
        <v>12</v>
      </c>
      <c r="N69" s="22">
        <v>12</v>
      </c>
      <c r="O69" s="22">
        <v>12</v>
      </c>
      <c r="P69" s="23">
        <v>7.2772998598020777E-3</v>
      </c>
      <c r="Q69" s="69">
        <f t="shared" si="1"/>
        <v>146</v>
      </c>
    </row>
    <row r="70" spans="1:17" ht="13.2" x14ac:dyDescent="0.25">
      <c r="A70" s="21" t="s">
        <v>97</v>
      </c>
      <c r="B70" s="25" t="s">
        <v>98</v>
      </c>
      <c r="C70" s="22">
        <v>6</v>
      </c>
      <c r="D70" s="22">
        <v>6</v>
      </c>
      <c r="E70" s="22">
        <v>6</v>
      </c>
      <c r="F70" s="22">
        <v>6</v>
      </c>
      <c r="G70" s="22">
        <v>6</v>
      </c>
      <c r="H70" s="22">
        <v>6</v>
      </c>
      <c r="I70" s="22">
        <v>7</v>
      </c>
      <c r="J70" s="22">
        <v>7</v>
      </c>
      <c r="K70" s="22">
        <v>7</v>
      </c>
      <c r="L70" s="22">
        <v>7</v>
      </c>
      <c r="M70" s="22">
        <v>7</v>
      </c>
      <c r="N70" s="22">
        <v>7</v>
      </c>
      <c r="O70" s="22">
        <v>7</v>
      </c>
      <c r="P70" s="23">
        <v>1.2928752866029347E-2</v>
      </c>
      <c r="Q70" s="69">
        <f t="shared" si="1"/>
        <v>85</v>
      </c>
    </row>
    <row r="71" spans="1:17" ht="13.2" x14ac:dyDescent="0.25">
      <c r="A71" s="24"/>
      <c r="B71" s="25" t="s">
        <v>159</v>
      </c>
      <c r="C71" s="22">
        <v>533</v>
      </c>
      <c r="D71" s="22">
        <v>537</v>
      </c>
      <c r="E71" s="22">
        <v>537</v>
      </c>
      <c r="F71" s="22">
        <v>542</v>
      </c>
      <c r="G71" s="22">
        <v>547</v>
      </c>
      <c r="H71" s="22">
        <v>551</v>
      </c>
      <c r="I71" s="22">
        <v>556</v>
      </c>
      <c r="J71" s="22">
        <v>561</v>
      </c>
      <c r="K71" s="22">
        <v>566</v>
      </c>
      <c r="L71" s="22">
        <v>571</v>
      </c>
      <c r="M71" s="22">
        <v>575</v>
      </c>
      <c r="N71" s="22">
        <v>578</v>
      </c>
      <c r="O71" s="22">
        <v>581</v>
      </c>
      <c r="P71" s="23">
        <v>7.2116573759255509E-3</v>
      </c>
      <c r="Q71" s="69">
        <f t="shared" ref="Q71:Q78" si="2">SUM(C71:O71)</f>
        <v>7235</v>
      </c>
    </row>
    <row r="72" spans="1:17" ht="13.2" x14ac:dyDescent="0.25">
      <c r="A72" s="24"/>
      <c r="B72" s="25" t="s">
        <v>20</v>
      </c>
      <c r="C72" s="22">
        <v>52</v>
      </c>
      <c r="D72" s="22">
        <v>53</v>
      </c>
      <c r="E72" s="22">
        <v>53</v>
      </c>
      <c r="F72" s="22">
        <v>53</v>
      </c>
      <c r="G72" s="22">
        <v>54</v>
      </c>
      <c r="H72" s="22">
        <v>54</v>
      </c>
      <c r="I72" s="22">
        <v>55</v>
      </c>
      <c r="J72" s="22">
        <v>55</v>
      </c>
      <c r="K72" s="22">
        <v>56</v>
      </c>
      <c r="L72" s="22">
        <v>56</v>
      </c>
      <c r="M72" s="22">
        <v>57</v>
      </c>
      <c r="N72" s="22">
        <v>57</v>
      </c>
      <c r="O72" s="22">
        <v>57</v>
      </c>
      <c r="P72" s="23">
        <v>7.6799699448402148E-3</v>
      </c>
      <c r="Q72" s="69">
        <f t="shared" si="2"/>
        <v>712</v>
      </c>
    </row>
    <row r="73" spans="1:17" ht="13.2" x14ac:dyDescent="0.25">
      <c r="A73" s="24"/>
      <c r="B73" s="25" t="s">
        <v>5</v>
      </c>
      <c r="C73" s="22">
        <v>754</v>
      </c>
      <c r="D73" s="22">
        <v>760</v>
      </c>
      <c r="E73" s="22">
        <v>760</v>
      </c>
      <c r="F73" s="22">
        <v>766</v>
      </c>
      <c r="G73" s="22">
        <v>773</v>
      </c>
      <c r="H73" s="22">
        <v>779</v>
      </c>
      <c r="I73" s="22">
        <v>786</v>
      </c>
      <c r="J73" s="22">
        <v>794</v>
      </c>
      <c r="K73" s="22">
        <v>801</v>
      </c>
      <c r="L73" s="22">
        <v>807</v>
      </c>
      <c r="M73" s="22">
        <v>813</v>
      </c>
      <c r="N73" s="22">
        <v>818</v>
      </c>
      <c r="O73" s="22">
        <v>822</v>
      </c>
      <c r="P73" s="23">
        <v>7.2216199539654191E-3</v>
      </c>
      <c r="Q73" s="69">
        <f t="shared" si="2"/>
        <v>10233</v>
      </c>
    </row>
    <row r="74" spans="1:17" ht="13.2" x14ac:dyDescent="0.25">
      <c r="A74" s="24"/>
      <c r="B74" s="25" t="s">
        <v>99</v>
      </c>
      <c r="C74" s="22">
        <v>109</v>
      </c>
      <c r="D74" s="22">
        <v>110</v>
      </c>
      <c r="E74" s="22">
        <v>110</v>
      </c>
      <c r="F74" s="22">
        <v>111</v>
      </c>
      <c r="G74" s="22">
        <v>112</v>
      </c>
      <c r="H74" s="22">
        <v>113</v>
      </c>
      <c r="I74" s="22">
        <v>114</v>
      </c>
      <c r="J74" s="22">
        <v>115</v>
      </c>
      <c r="K74" s="22">
        <v>116</v>
      </c>
      <c r="L74" s="22">
        <v>117</v>
      </c>
      <c r="M74" s="22">
        <v>118</v>
      </c>
      <c r="N74" s="22">
        <v>119</v>
      </c>
      <c r="O74" s="22">
        <v>119</v>
      </c>
      <c r="P74" s="23">
        <v>7.3414515235632472E-3</v>
      </c>
      <c r="Q74" s="69">
        <f t="shared" si="2"/>
        <v>1483</v>
      </c>
    </row>
    <row r="75" spans="1:17" ht="13.2" x14ac:dyDescent="0.25">
      <c r="A75" s="24"/>
      <c r="B75" s="25" t="s">
        <v>100</v>
      </c>
      <c r="C75" s="22">
        <v>142</v>
      </c>
      <c r="D75" s="22">
        <v>143</v>
      </c>
      <c r="E75" s="22">
        <v>143</v>
      </c>
      <c r="F75" s="22">
        <v>144</v>
      </c>
      <c r="G75" s="22">
        <v>146</v>
      </c>
      <c r="H75" s="22">
        <v>147</v>
      </c>
      <c r="I75" s="22">
        <v>148</v>
      </c>
      <c r="J75" s="22">
        <v>150</v>
      </c>
      <c r="K75" s="22">
        <v>151</v>
      </c>
      <c r="L75" s="22">
        <v>152</v>
      </c>
      <c r="M75" s="22">
        <v>153</v>
      </c>
      <c r="N75" s="22">
        <v>154</v>
      </c>
      <c r="O75" s="22">
        <v>155</v>
      </c>
      <c r="P75" s="23">
        <v>7.3265470462764437E-3</v>
      </c>
      <c r="Q75" s="69">
        <f t="shared" si="2"/>
        <v>1928</v>
      </c>
    </row>
    <row r="76" spans="1:17" ht="13.2" x14ac:dyDescent="0.25">
      <c r="A76" s="21" t="s">
        <v>101</v>
      </c>
      <c r="B76" s="27"/>
      <c r="C76" s="22">
        <v>1596</v>
      </c>
      <c r="D76" s="22">
        <v>1609</v>
      </c>
      <c r="E76" s="22">
        <v>1609</v>
      </c>
      <c r="F76" s="22">
        <v>1622</v>
      </c>
      <c r="G76" s="22">
        <v>1638</v>
      </c>
      <c r="H76" s="22">
        <v>1650</v>
      </c>
      <c r="I76" s="22">
        <v>1666</v>
      </c>
      <c r="J76" s="22">
        <v>1682</v>
      </c>
      <c r="K76" s="22">
        <v>1697</v>
      </c>
      <c r="L76" s="22">
        <v>1710</v>
      </c>
      <c r="M76" s="22">
        <v>1723</v>
      </c>
      <c r="N76" s="22">
        <v>1733</v>
      </c>
      <c r="O76" s="22">
        <v>1741</v>
      </c>
      <c r="P76" s="23">
        <v>7.2729169345804312E-3</v>
      </c>
      <c r="Q76" s="69">
        <f t="shared" si="2"/>
        <v>21676</v>
      </c>
    </row>
    <row r="77" spans="1:17" ht="13.2" x14ac:dyDescent="0.25">
      <c r="A77" s="21" t="s">
        <v>102</v>
      </c>
      <c r="B77" s="27"/>
      <c r="C77" s="22">
        <v>264619</v>
      </c>
      <c r="D77" s="22">
        <v>266718</v>
      </c>
      <c r="E77" s="22">
        <v>267268</v>
      </c>
      <c r="F77" s="22">
        <v>268387</v>
      </c>
      <c r="G77" s="22">
        <v>269391</v>
      </c>
      <c r="H77" s="22">
        <v>270339</v>
      </c>
      <c r="I77" s="22">
        <v>271569</v>
      </c>
      <c r="J77" s="22">
        <v>272889</v>
      </c>
      <c r="K77" s="22">
        <v>274953</v>
      </c>
      <c r="L77" s="22">
        <v>276529</v>
      </c>
      <c r="M77" s="22">
        <v>277790</v>
      </c>
      <c r="N77" s="22">
        <v>279093</v>
      </c>
      <c r="O77" s="22">
        <v>280094</v>
      </c>
      <c r="P77" s="23">
        <v>4.7474172387007574E-3</v>
      </c>
      <c r="Q77" s="69">
        <f t="shared" si="2"/>
        <v>3539639</v>
      </c>
    </row>
    <row r="78" spans="1:17" ht="13.2" x14ac:dyDescent="0.25">
      <c r="A78" s="21" t="s">
        <v>103</v>
      </c>
      <c r="B78" s="27"/>
      <c r="C78" s="22">
        <v>6058</v>
      </c>
      <c r="D78" s="22">
        <v>9783</v>
      </c>
      <c r="E78" s="22">
        <v>9797</v>
      </c>
      <c r="F78" s="22">
        <v>9802</v>
      </c>
      <c r="G78" s="22">
        <v>9810</v>
      </c>
      <c r="H78" s="22">
        <v>9817</v>
      </c>
      <c r="I78" s="22">
        <v>9827</v>
      </c>
      <c r="J78" s="22">
        <v>9837</v>
      </c>
      <c r="K78" s="22">
        <v>9858</v>
      </c>
      <c r="L78" s="22">
        <v>9872</v>
      </c>
      <c r="M78" s="22">
        <v>9882</v>
      </c>
      <c r="N78" s="22">
        <v>9894</v>
      </c>
      <c r="O78" s="22">
        <v>9900</v>
      </c>
      <c r="P78" s="23">
        <v>4.1778748242346841E-2</v>
      </c>
      <c r="Q78" s="69">
        <f t="shared" si="2"/>
        <v>124137</v>
      </c>
    </row>
    <row r="79" spans="1:17" ht="13.2" x14ac:dyDescent="0.25">
      <c r="A79" s="30" t="s">
        <v>104</v>
      </c>
      <c r="B79" s="75"/>
      <c r="C79" s="31">
        <v>258561</v>
      </c>
      <c r="D79" s="31">
        <v>256935</v>
      </c>
      <c r="E79" s="31">
        <v>257471</v>
      </c>
      <c r="F79" s="31">
        <v>258585</v>
      </c>
      <c r="G79" s="31">
        <v>259581</v>
      </c>
      <c r="H79" s="31">
        <v>260522</v>
      </c>
      <c r="I79" s="31">
        <v>261742</v>
      </c>
      <c r="J79" s="31">
        <v>263052</v>
      </c>
      <c r="K79" s="31">
        <v>265095</v>
      </c>
      <c r="L79" s="31">
        <v>266657</v>
      </c>
      <c r="M79" s="31">
        <v>267908</v>
      </c>
      <c r="N79" s="31">
        <v>269199</v>
      </c>
      <c r="O79" s="31">
        <v>270194</v>
      </c>
      <c r="P79" s="32">
        <v>3.6741144553831262E-3</v>
      </c>
      <c r="Q79" s="70">
        <f>SUM(C79:O79)</f>
        <v>3415502</v>
      </c>
    </row>
    <row r="80" spans="1:17" x14ac:dyDescent="0.3">
      <c r="A80" s="33" t="s">
        <v>160</v>
      </c>
      <c r="B80" s="34"/>
      <c r="C80" s="33"/>
      <c r="D80" s="33"/>
      <c r="E80" s="33"/>
      <c r="F80" s="33"/>
      <c r="G80" s="33"/>
      <c r="H80" s="33"/>
      <c r="I80" s="33"/>
      <c r="J80" s="33"/>
      <c r="K80" s="33"/>
      <c r="L80" s="33"/>
    </row>
    <row r="81" spans="1:2" x14ac:dyDescent="0.3">
      <c r="A81" s="35" t="s">
        <v>161</v>
      </c>
      <c r="B81" s="34"/>
    </row>
    <row r="82" spans="1:2" x14ac:dyDescent="0.3">
      <c r="A82" t="s">
        <v>154</v>
      </c>
      <c r="B82" s="34"/>
    </row>
  </sheetData>
  <hyperlinks>
    <hyperlink ref="E4" r:id="rId1"/>
  </hyperlinks>
  <pageMargins left="0.7" right="0.7" top="0.75" bottom="0.75" header="0.3" footer="0.3"/>
  <pageSetup paperSize="17"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4.4" x14ac:dyDescent="0.3"/>
  <cols>
    <col min="1" max="1" width="37.6640625" style="121" customWidth="1"/>
    <col min="2" max="2" width="68.6640625" style="121" customWidth="1"/>
  </cols>
  <sheetData>
    <row r="1" spans="1:2" s="58" customFormat="1" ht="15.6" customHeight="1" thickBot="1" x14ac:dyDescent="0.35">
      <c r="A1" s="125" t="s">
        <v>86</v>
      </c>
      <c r="B1" s="126" t="s">
        <v>173</v>
      </c>
    </row>
    <row r="2" spans="1:2" ht="60.6" customHeight="1" thickBot="1" x14ac:dyDescent="0.35">
      <c r="A2" s="210" t="s">
        <v>258</v>
      </c>
      <c r="B2" s="211"/>
    </row>
    <row r="8" spans="1:2" s="121" customFormat="1" x14ac:dyDescent="0.3"/>
    <row r="9" spans="1:2" s="121" customFormat="1" x14ac:dyDescent="0.3"/>
    <row r="10" spans="1:2" s="121" customFormat="1" x14ac:dyDescent="0.3"/>
    <row r="11" spans="1:2" s="121" customFormat="1" x14ac:dyDescent="0.3"/>
  </sheetData>
  <mergeCells count="1">
    <mergeCell ref="A2:B2"/>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4.4" x14ac:dyDescent="0.3"/>
  <cols>
    <col min="1" max="1" width="37.6640625" style="121" customWidth="1"/>
    <col min="2" max="2" width="68.6640625" style="121" customWidth="1"/>
  </cols>
  <sheetData>
    <row r="1" spans="1:2" s="58" customFormat="1" ht="15" customHeight="1" thickBot="1" x14ac:dyDescent="0.35">
      <c r="A1" s="127" t="s">
        <v>0</v>
      </c>
      <c r="B1" s="126" t="s">
        <v>173</v>
      </c>
    </row>
    <row r="2" spans="1:2" s="58" customFormat="1" ht="60.6" customHeight="1" thickBot="1" x14ac:dyDescent="0.35">
      <c r="A2" s="210" t="s">
        <v>258</v>
      </c>
      <c r="B2" s="211"/>
    </row>
    <row r="3" spans="1:2" s="58" customFormat="1" x14ac:dyDescent="0.3">
      <c r="A3" s="121"/>
      <c r="B3" s="121"/>
    </row>
    <row r="8" spans="1:2" s="121" customFormat="1" x14ac:dyDescent="0.3"/>
    <row r="9" spans="1:2" s="121" customFormat="1" x14ac:dyDescent="0.3"/>
    <row r="10" spans="1:2" s="121" customFormat="1" x14ac:dyDescent="0.3"/>
    <row r="11" spans="1:2" s="121" customFormat="1" x14ac:dyDescent="0.3"/>
  </sheetData>
  <mergeCells count="1">
    <mergeCell ref="A2:B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zoomScaleNormal="100" workbookViewId="0"/>
  </sheetViews>
  <sheetFormatPr defaultRowHeight="14.4" x14ac:dyDescent="0.3"/>
  <cols>
    <col min="1" max="1" width="37.6640625" customWidth="1"/>
    <col min="2" max="11" width="11.44140625" customWidth="1"/>
    <col min="12" max="12" width="49.33203125" style="2" customWidth="1"/>
    <col min="14" max="14" width="8.6640625" customWidth="1"/>
    <col min="15" max="15" width="36.5546875" customWidth="1"/>
    <col min="17" max="17" width="14.6640625" customWidth="1"/>
  </cols>
  <sheetData>
    <row r="1" spans="1:16" s="58" customFormat="1" ht="15.6" x14ac:dyDescent="0.3">
      <c r="A1" s="97" t="s">
        <v>185</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58.2" x14ac:dyDescent="0.35">
      <c r="A3" s="99" t="s">
        <v>166</v>
      </c>
      <c r="B3" s="61">
        <f>SUMIFS('Form 1.5a'!J:J, 'Form 1.5a'!$B:$B, "PG&amp;E Service Area*")*1000</f>
        <v>96350000</v>
      </c>
      <c r="C3" s="61">
        <f>SUMIFS('Form 1.5a'!K:K, 'Form 1.5a'!$B:$B, "PG&amp;E Service Area*")*1000</f>
        <v>97088999.999999985</v>
      </c>
      <c r="D3" s="61">
        <f>SUMIFS('Form 1.5a'!L:L, 'Form 1.5a'!$B:$B, "PG&amp;E Service Area*")*1000</f>
        <v>97763999.999999985</v>
      </c>
      <c r="E3" s="61">
        <f>SUMIFS('Form 1.5a'!M:M, 'Form 1.5a'!$B:$B, "PG&amp;E Service Area*")*1000</f>
        <v>98211000</v>
      </c>
      <c r="F3" s="61">
        <f>SUMIFS('Form 1.5a'!N:N, 'Form 1.5a'!$B:$B, "PG&amp;E Service Area*")*1000</f>
        <v>98599000</v>
      </c>
      <c r="G3" s="61">
        <f>SUMIFS('Form 1.5a'!O:O, 'Form 1.5a'!$B:$B, "PG&amp;E Service Area*")*1000</f>
        <v>98965999.999999985</v>
      </c>
      <c r="H3" s="65">
        <f>AVERAGE(E3:G3)*(1+$N$8)</f>
        <v>98932775.539304897</v>
      </c>
      <c r="I3" s="65">
        <f t="shared" ref="I3:K4" si="0">H3*(1+$N$8)</f>
        <v>99274728.942616895</v>
      </c>
      <c r="J3" s="65">
        <f t="shared" si="0"/>
        <v>99617864.28113085</v>
      </c>
      <c r="K3" s="65">
        <f t="shared" si="0"/>
        <v>99962185.640113369</v>
      </c>
      <c r="L3" s="84" t="s">
        <v>209</v>
      </c>
      <c r="N3" s="62">
        <v>0.91839999999999999</v>
      </c>
      <c r="O3" s="8" t="s">
        <v>199</v>
      </c>
    </row>
    <row r="4" spans="1:16" s="58" customFormat="1" ht="57.6" x14ac:dyDescent="0.3">
      <c r="A4" s="99" t="s">
        <v>167</v>
      </c>
      <c r="B4" s="61">
        <f>SUMIFS('Form 1.1c'!J:J, 'Form 1.1c'!$B:$B, "Pacific Gas and Electric*")*1000</f>
        <v>87948000</v>
      </c>
      <c r="C4" s="61">
        <f>SUMIFS('Form 1.1c'!K:K, 'Form 1.1c'!$B:$B, "Pacific Gas and Electric*")*1000</f>
        <v>88630000</v>
      </c>
      <c r="D4" s="61">
        <f>SUMIFS('Form 1.1c'!L:L, 'Form 1.1c'!$B:$B, "Pacific Gas and Electric*")*1000</f>
        <v>89255000</v>
      </c>
      <c r="E4" s="61">
        <f>SUMIFS('Form 1.1c'!M:M, 'Form 1.1c'!$B:$B, "Pacific Gas and Electric*")*1000</f>
        <v>89671000</v>
      </c>
      <c r="F4" s="61">
        <f>SUMIFS('Form 1.1c'!N:N, 'Form 1.1c'!$B:$B, "Pacific Gas and Electric*")*1000</f>
        <v>90035000</v>
      </c>
      <c r="G4" s="61">
        <f>SUMIFS('Form 1.1c'!O:O, 'Form 1.1c'!$B:$B, "Pacific Gas and Electric*")*1000</f>
        <v>90376000</v>
      </c>
      <c r="H4" s="65">
        <f>AVERAGE(E4:G4)*(1+$N$8)</f>
        <v>90338505.771957636</v>
      </c>
      <c r="I4" s="61">
        <f t="shared" si="0"/>
        <v>90650753.753786147</v>
      </c>
      <c r="J4" s="61">
        <f t="shared" si="0"/>
        <v>90964080.996349856</v>
      </c>
      <c r="K4" s="61">
        <f t="shared" si="0"/>
        <v>91278491.230029106</v>
      </c>
      <c r="L4" s="84" t="s">
        <v>211</v>
      </c>
      <c r="N4" s="68">
        <f>0.15</f>
        <v>0.15</v>
      </c>
      <c r="O4" s="84" t="s">
        <v>165</v>
      </c>
    </row>
    <row r="5" spans="1:16" s="58" customFormat="1" ht="28.8" x14ac:dyDescent="0.3">
      <c r="A5" s="99" t="s">
        <v>191</v>
      </c>
      <c r="B5" s="61">
        <f>IF(0&lt;(B3-B4)/B3,B4,B3*(1-$N$5))</f>
        <v>87948000</v>
      </c>
      <c r="C5" s="61">
        <f t="shared" ref="C5:K5" si="1">IF(0&lt;(C3-C4)/C3,C4,C3*(1-$N$5))</f>
        <v>88630000</v>
      </c>
      <c r="D5" s="61">
        <f t="shared" si="1"/>
        <v>89255000</v>
      </c>
      <c r="E5" s="61">
        <f t="shared" si="1"/>
        <v>89671000</v>
      </c>
      <c r="F5" s="61">
        <f t="shared" si="1"/>
        <v>90035000</v>
      </c>
      <c r="G5" s="61">
        <f t="shared" si="1"/>
        <v>90376000</v>
      </c>
      <c r="H5" s="61">
        <f t="shared" si="1"/>
        <v>90338505.771957636</v>
      </c>
      <c r="I5" s="61">
        <f t="shared" si="1"/>
        <v>90650753.753786147</v>
      </c>
      <c r="J5" s="61">
        <f t="shared" si="1"/>
        <v>90964080.996349856</v>
      </c>
      <c r="K5" s="61">
        <f t="shared" si="1"/>
        <v>91278491.230029106</v>
      </c>
      <c r="L5" s="84" t="s">
        <v>271</v>
      </c>
      <c r="N5" s="68">
        <f>0.07</f>
        <v>7.0000000000000007E-2</v>
      </c>
      <c r="O5" s="84" t="s">
        <v>275</v>
      </c>
    </row>
    <row r="6" spans="1:16" s="58" customFormat="1" x14ac:dyDescent="0.3">
      <c r="A6" s="99" t="s">
        <v>168</v>
      </c>
      <c r="B6" s="61">
        <v>0</v>
      </c>
      <c r="C6" s="61">
        <v>0</v>
      </c>
      <c r="D6" s="61">
        <v>0</v>
      </c>
      <c r="E6" s="61">
        <v>0</v>
      </c>
      <c r="F6" s="61">
        <v>0</v>
      </c>
      <c r="G6" s="61">
        <v>0</v>
      </c>
      <c r="H6" s="61">
        <v>0</v>
      </c>
      <c r="I6" s="61">
        <v>0</v>
      </c>
      <c r="J6" s="61">
        <v>0</v>
      </c>
      <c r="K6" s="61">
        <v>0</v>
      </c>
      <c r="L6" s="112" t="s">
        <v>223</v>
      </c>
      <c r="N6" s="63">
        <v>0.05</v>
      </c>
      <c r="O6" s="84" t="s">
        <v>200</v>
      </c>
    </row>
    <row r="7" spans="1:16" s="58" customFormat="1" ht="102.6" x14ac:dyDescent="0.3">
      <c r="A7" s="99" t="s">
        <v>169</v>
      </c>
      <c r="B7" s="61">
        <v>18281935.771384999</v>
      </c>
      <c r="C7" s="61">
        <v>18281443.397853002</v>
      </c>
      <c r="D7" s="61">
        <v>18284558.624086</v>
      </c>
      <c r="E7" s="61">
        <v>17183104.37277</v>
      </c>
      <c r="F7" s="61">
        <f>AVERAGE(C7:E7)*3/12</f>
        <v>4479092.1995590841</v>
      </c>
      <c r="G7" s="61">
        <v>0</v>
      </c>
      <c r="H7" s="61">
        <v>0</v>
      </c>
      <c r="I7" s="61">
        <v>0</v>
      </c>
      <c r="J7" s="61">
        <v>0</v>
      </c>
      <c r="K7" s="61">
        <v>0</v>
      </c>
      <c r="L7" s="105" t="s">
        <v>361</v>
      </c>
      <c r="O7" s="101"/>
    </row>
    <row r="8" spans="1:16" s="58" customFormat="1" ht="28.8" x14ac:dyDescent="0.3">
      <c r="A8" s="99" t="s">
        <v>170</v>
      </c>
      <c r="B8" s="61">
        <v>9489081.6746110022</v>
      </c>
      <c r="C8" s="61">
        <v>9486305.9631190002</v>
      </c>
      <c r="D8" s="61">
        <v>9483357.2673009988</v>
      </c>
      <c r="E8" s="61">
        <v>9501135.9139590021</v>
      </c>
      <c r="F8" s="61">
        <f>AVERAGE(C8:E8)</f>
        <v>9490266.3814596683</v>
      </c>
      <c r="G8" s="61">
        <f>F8</f>
        <v>9490266.3814596683</v>
      </c>
      <c r="H8" s="61">
        <f t="shared" ref="H8:K8" si="2">G8</f>
        <v>9490266.3814596683</v>
      </c>
      <c r="I8" s="61">
        <f t="shared" si="2"/>
        <v>9490266.3814596683</v>
      </c>
      <c r="J8" s="61">
        <f t="shared" si="2"/>
        <v>9490266.3814596683</v>
      </c>
      <c r="K8" s="61">
        <f t="shared" si="2"/>
        <v>9490266.3814596683</v>
      </c>
      <c r="L8" s="84" t="s">
        <v>230</v>
      </c>
      <c r="N8" s="64">
        <v>3.4564218121641336E-3</v>
      </c>
      <c r="O8" s="84" t="s">
        <v>201</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x14ac:dyDescent="0.3">
      <c r="A10" s="99" t="s">
        <v>171</v>
      </c>
      <c r="B10" s="61">
        <f>B5*B9</f>
        <v>26384400</v>
      </c>
      <c r="C10" s="61">
        <f t="shared" ref="C10:K10" si="3">C5*C9</f>
        <v>27475300</v>
      </c>
      <c r="D10" s="61">
        <f t="shared" si="3"/>
        <v>29454150</v>
      </c>
      <c r="E10" s="61">
        <f t="shared" si="3"/>
        <v>31384849.999999996</v>
      </c>
      <c r="F10" s="61">
        <f t="shared" si="3"/>
        <v>33312950</v>
      </c>
      <c r="G10" s="61">
        <f t="shared" si="3"/>
        <v>34342880</v>
      </c>
      <c r="H10" s="61">
        <f t="shared" si="3"/>
        <v>36135402.308783054</v>
      </c>
      <c r="I10" s="61">
        <f t="shared" si="3"/>
        <v>38073316.57659018</v>
      </c>
      <c r="J10" s="61">
        <f t="shared" si="3"/>
        <v>39114554.828430437</v>
      </c>
      <c r="K10" s="61">
        <f t="shared" si="3"/>
        <v>41075321.053513102</v>
      </c>
      <c r="L10" s="84" t="s">
        <v>376</v>
      </c>
      <c r="N10" s="123"/>
    </row>
    <row r="11" spans="1:16" s="58" customFormat="1" ht="28.8" x14ac:dyDescent="0.3">
      <c r="A11" s="99" t="s">
        <v>172</v>
      </c>
      <c r="B11" s="61">
        <f t="shared" ref="B11:K11" si="4">MAX(B3-SUM(B6:B8,B10), B3*$N$6)</f>
        <v>42194582.554003999</v>
      </c>
      <c r="C11" s="61">
        <f t="shared" si="4"/>
        <v>41845950.639027983</v>
      </c>
      <c r="D11" s="61">
        <f t="shared" si="4"/>
        <v>40541934.108612984</v>
      </c>
      <c r="E11" s="61">
        <f t="shared" si="4"/>
        <v>40141909.713271007</v>
      </c>
      <c r="F11" s="61">
        <f t="shared" si="4"/>
        <v>51316691.418981247</v>
      </c>
      <c r="G11" s="61">
        <f t="shared" si="4"/>
        <v>55132853.618540317</v>
      </c>
      <c r="H11" s="61">
        <f t="shared" si="4"/>
        <v>53307106.849062175</v>
      </c>
      <c r="I11" s="61">
        <f t="shared" si="4"/>
        <v>51711145.984567046</v>
      </c>
      <c r="J11" s="61">
        <f t="shared" si="4"/>
        <v>51013043.071240745</v>
      </c>
      <c r="K11" s="61">
        <f t="shared" si="4"/>
        <v>49396598.205140598</v>
      </c>
      <c r="L11" s="84" t="s">
        <v>203</v>
      </c>
    </row>
    <row r="12" spans="1:16" s="58" customFormat="1" ht="43.8" x14ac:dyDescent="0.35">
      <c r="A12" s="99" t="s">
        <v>194</v>
      </c>
      <c r="B12" s="61">
        <f t="shared" ref="B12:K12" si="5">B6*$N$3+B11*$N$2</f>
        <v>18371521.244013343</v>
      </c>
      <c r="C12" s="61">
        <f t="shared" si="5"/>
        <v>18219726.908232786</v>
      </c>
      <c r="D12" s="61">
        <f t="shared" si="5"/>
        <v>17651958.110890094</v>
      </c>
      <c r="E12" s="61">
        <f t="shared" si="5"/>
        <v>17477787.489158198</v>
      </c>
      <c r="F12" s="61">
        <f t="shared" si="5"/>
        <v>22343287.443824437</v>
      </c>
      <c r="G12" s="61">
        <f t="shared" si="5"/>
        <v>24004844.465512455</v>
      </c>
      <c r="H12" s="61">
        <f t="shared" si="5"/>
        <v>23209914.32208167</v>
      </c>
      <c r="I12" s="61">
        <f t="shared" si="5"/>
        <v>22515032.961680491</v>
      </c>
      <c r="J12" s="61">
        <f t="shared" si="5"/>
        <v>22211078.953218222</v>
      </c>
      <c r="K12" s="61">
        <f t="shared" si="5"/>
        <v>21507278.858518217</v>
      </c>
      <c r="L12" s="102" t="s">
        <v>204</v>
      </c>
    </row>
    <row r="13" spans="1:16" s="58" customFormat="1" ht="72" x14ac:dyDescent="0.3">
      <c r="A13" s="99"/>
      <c r="B13" s="204" t="s">
        <v>205</v>
      </c>
      <c r="C13" s="205"/>
      <c r="D13" s="205"/>
      <c r="E13" s="205"/>
      <c r="F13" s="205"/>
      <c r="G13" s="205"/>
      <c r="H13" s="205"/>
      <c r="I13" s="205"/>
      <c r="J13" s="206"/>
      <c r="K13" s="177">
        <v>4047436.3728909469</v>
      </c>
      <c r="L13" s="102" t="s">
        <v>368</v>
      </c>
    </row>
    <row r="14" spans="1:16" s="58" customFormat="1" ht="30" x14ac:dyDescent="0.35">
      <c r="A14" s="99" t="s">
        <v>195</v>
      </c>
      <c r="B14" s="80">
        <f t="shared" ref="B14:K14" si="6">B12/B3</f>
        <v>0.19067484425545764</v>
      </c>
      <c r="C14" s="80">
        <f t="shared" si="6"/>
        <v>0.18766005323190874</v>
      </c>
      <c r="D14" s="80">
        <f t="shared" si="6"/>
        <v>0.18055683186950305</v>
      </c>
      <c r="E14" s="80">
        <f t="shared" si="6"/>
        <v>0.17796160805977129</v>
      </c>
      <c r="F14" s="80">
        <f t="shared" si="6"/>
        <v>0.22660764758085211</v>
      </c>
      <c r="G14" s="80">
        <f t="shared" si="6"/>
        <v>0.24255647864430671</v>
      </c>
      <c r="H14" s="80">
        <f t="shared" si="6"/>
        <v>0.23460288256908984</v>
      </c>
      <c r="I14" s="80">
        <f t="shared" si="6"/>
        <v>0.22679520963179567</v>
      </c>
      <c r="J14" s="80">
        <f t="shared" si="6"/>
        <v>0.2229628100692512</v>
      </c>
      <c r="K14" s="80">
        <f t="shared" si="6"/>
        <v>0.21515414774892297</v>
      </c>
      <c r="L14" s="84" t="s">
        <v>206</v>
      </c>
    </row>
    <row r="15" spans="1:16" s="58" customFormat="1" ht="30.6" thickBot="1" x14ac:dyDescent="0.4">
      <c r="A15" s="99" t="s">
        <v>196</v>
      </c>
      <c r="B15" s="79">
        <f>$K$13*B14</f>
        <v>771744.30003485561</v>
      </c>
      <c r="C15" s="79">
        <f t="shared" ref="C15:K15" si="7">$K$13*C14</f>
        <v>759542.12518947874</v>
      </c>
      <c r="D15" s="79">
        <f t="shared" si="7"/>
        <v>730792.28868258197</v>
      </c>
      <c r="E15" s="79">
        <f t="shared" si="7"/>
        <v>720288.28543928103</v>
      </c>
      <c r="F15" s="79">
        <f t="shared" si="7"/>
        <v>917180.03519399406</v>
      </c>
      <c r="G15" s="79">
        <f t="shared" si="7"/>
        <v>981731.9141453132</v>
      </c>
      <c r="H15" s="79">
        <f t="shared" si="7"/>
        <v>949540.24009519781</v>
      </c>
      <c r="I15" s="79">
        <f t="shared" si="7"/>
        <v>917939.18066115701</v>
      </c>
      <c r="J15" s="79">
        <f t="shared" si="7"/>
        <v>902427.78727626312</v>
      </c>
      <c r="K15" s="79">
        <f t="shared" si="7"/>
        <v>870822.72337734373</v>
      </c>
      <c r="L15" s="84" t="s">
        <v>250</v>
      </c>
    </row>
    <row r="16" spans="1:16" ht="29.4" thickBot="1" x14ac:dyDescent="0.35">
      <c r="A16" s="179" t="s">
        <v>197</v>
      </c>
      <c r="B16" s="81">
        <f t="shared" ref="B16:K16" si="8">B12-B15</f>
        <v>17599776.943978488</v>
      </c>
      <c r="C16" s="81">
        <f t="shared" si="8"/>
        <v>17460184.783043306</v>
      </c>
      <c r="D16" s="81">
        <f t="shared" si="8"/>
        <v>16921165.82220751</v>
      </c>
      <c r="E16" s="81">
        <f t="shared" si="8"/>
        <v>16757499.203718917</v>
      </c>
      <c r="F16" s="81">
        <f t="shared" si="8"/>
        <v>21426107.408630442</v>
      </c>
      <c r="G16" s="81">
        <f t="shared" si="8"/>
        <v>23023112.551367141</v>
      </c>
      <c r="H16" s="81">
        <f t="shared" si="8"/>
        <v>22260374.081986472</v>
      </c>
      <c r="I16" s="81">
        <f t="shared" si="8"/>
        <v>21597093.781019334</v>
      </c>
      <c r="J16" s="81">
        <f t="shared" si="8"/>
        <v>21308651.165941957</v>
      </c>
      <c r="K16" s="81">
        <f t="shared" si="8"/>
        <v>20636456.135140873</v>
      </c>
      <c r="L16" s="88" t="s">
        <v>265</v>
      </c>
      <c r="N16" s="58"/>
      <c r="O16" s="58"/>
    </row>
    <row r="17" spans="1:18" s="121" customFormat="1" x14ac:dyDescent="0.3">
      <c r="A17" s="108" t="s">
        <v>218</v>
      </c>
      <c r="B17" s="109"/>
      <c r="C17" s="82"/>
      <c r="D17" s="82"/>
      <c r="E17" s="82"/>
      <c r="F17" s="82"/>
      <c r="G17" s="82"/>
      <c r="H17" s="82"/>
      <c r="I17" s="82"/>
      <c r="J17" s="82"/>
      <c r="K17" s="82"/>
      <c r="P17" s="58"/>
      <c r="Q17" s="58"/>
      <c r="R17" s="58"/>
    </row>
    <row r="18" spans="1:18" s="121" customFormat="1" ht="16.2" x14ac:dyDescent="0.3">
      <c r="A18" s="121" t="s">
        <v>362</v>
      </c>
      <c r="N18" s="4"/>
      <c r="O18" s="4"/>
    </row>
    <row r="19" spans="1:18" s="121" customFormat="1" x14ac:dyDescent="0.3">
      <c r="A19" s="110" t="s">
        <v>365</v>
      </c>
    </row>
    <row r="20" spans="1:18" x14ac:dyDescent="0.3">
      <c r="A20" t="s">
        <v>363</v>
      </c>
    </row>
    <row r="21" spans="1:18" x14ac:dyDescent="0.3">
      <c r="A21" s="110" t="s">
        <v>364</v>
      </c>
    </row>
  </sheetData>
  <mergeCells count="3">
    <mergeCell ref="B13:J13"/>
    <mergeCell ref="B1:L1"/>
    <mergeCell ref="N1:O1"/>
  </mergeCells>
  <hyperlinks>
    <hyperlink ref="A19" r:id="rId1"/>
    <hyperlink ref="A21" r:id="rId2"/>
  </hyperlinks>
  <pageMargins left="0.7" right="0.7" top="0.75" bottom="0.75" header="0.3" footer="0.3"/>
  <pageSetup orientation="portrait"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zoomScaleNormal="100" workbookViewId="0"/>
  </sheetViews>
  <sheetFormatPr defaultRowHeight="14.4" x14ac:dyDescent="0.3"/>
  <cols>
    <col min="1" max="1" width="37.6640625" customWidth="1"/>
    <col min="2" max="11" width="11" customWidth="1"/>
    <col min="12" max="12" width="47.5546875" customWidth="1"/>
    <col min="14" max="14" width="8.6640625" customWidth="1"/>
    <col min="15" max="15" width="34.109375" customWidth="1"/>
    <col min="16" max="17" width="12" customWidth="1"/>
    <col min="18" max="18" width="11.33203125" customWidth="1"/>
    <col min="19" max="19" width="14.33203125" customWidth="1"/>
    <col min="20" max="20" width="10.6640625" bestFit="1" customWidth="1"/>
  </cols>
  <sheetData>
    <row r="1" spans="1:18" s="58" customFormat="1" ht="15.6" x14ac:dyDescent="0.3">
      <c r="A1" s="97" t="s">
        <v>5</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103.2" x14ac:dyDescent="0.35">
      <c r="A3" s="99" t="s">
        <v>214</v>
      </c>
      <c r="B3" s="104">
        <v>884960</v>
      </c>
      <c r="C3" s="104">
        <v>884400</v>
      </c>
      <c r="D3" s="104">
        <v>881130</v>
      </c>
      <c r="E3" s="104">
        <v>877620</v>
      </c>
      <c r="F3" s="104">
        <v>867400</v>
      </c>
      <c r="G3" s="104">
        <f>AVERAGE(D3:F3)*(1+$N$5)</f>
        <v>873282.41333333345</v>
      </c>
      <c r="H3" s="104">
        <f>G3*(1+$N$5)</f>
        <v>871186.53554133349</v>
      </c>
      <c r="I3" s="104">
        <f t="shared" ref="I3:K3" si="0">H3*(1+$N$5)</f>
        <v>869095.68785603438</v>
      </c>
      <c r="J3" s="104">
        <f t="shared" si="0"/>
        <v>867009.85820517992</v>
      </c>
      <c r="K3" s="104">
        <f t="shared" si="0"/>
        <v>864929.03454548749</v>
      </c>
      <c r="L3" s="105" t="s">
        <v>255</v>
      </c>
      <c r="N3" s="62">
        <v>0.91839999999999999</v>
      </c>
      <c r="O3" s="8" t="s">
        <v>199</v>
      </c>
    </row>
    <row r="4" spans="1:18" s="58" customFormat="1" ht="45" x14ac:dyDescent="0.3">
      <c r="A4" s="99" t="s">
        <v>215</v>
      </c>
      <c r="B4" s="106">
        <v>0.55000000000000004</v>
      </c>
      <c r="C4" s="106">
        <v>0.55000000000000004</v>
      </c>
      <c r="D4" s="106">
        <v>0.55000000000000004</v>
      </c>
      <c r="E4" s="106">
        <v>0.51</v>
      </c>
      <c r="F4" s="106">
        <v>0.52</v>
      </c>
      <c r="G4" s="106">
        <v>0.49</v>
      </c>
      <c r="H4" s="106">
        <v>0.47</v>
      </c>
      <c r="I4" s="106">
        <v>0.45</v>
      </c>
      <c r="J4" s="106">
        <v>0.45</v>
      </c>
      <c r="K4" s="106">
        <v>0.36</v>
      </c>
      <c r="L4" s="105" t="s">
        <v>256</v>
      </c>
      <c r="N4" s="66"/>
      <c r="O4" s="60"/>
    </row>
    <row r="5" spans="1:18" s="58" customFormat="1" ht="88.2" x14ac:dyDescent="0.3">
      <c r="A5" s="99" t="s">
        <v>216</v>
      </c>
      <c r="B5" s="106">
        <v>0.18</v>
      </c>
      <c r="C5" s="106">
        <v>0.18</v>
      </c>
      <c r="D5" s="106">
        <v>0.19</v>
      </c>
      <c r="E5" s="106">
        <v>0.18</v>
      </c>
      <c r="F5" s="106">
        <v>0.19</v>
      </c>
      <c r="G5" s="106">
        <v>0.18</v>
      </c>
      <c r="H5" s="106">
        <v>0.18</v>
      </c>
      <c r="I5" s="106">
        <v>0.16999999999999998</v>
      </c>
      <c r="J5" s="106">
        <v>0.16999999999999998</v>
      </c>
      <c r="K5" s="106">
        <v>0.14000000000000001</v>
      </c>
      <c r="L5" s="105" t="s">
        <v>266</v>
      </c>
      <c r="N5" s="64">
        <v>-2.3999999999999998E-3</v>
      </c>
      <c r="O5" s="84" t="s">
        <v>221</v>
      </c>
    </row>
    <row r="6" spans="1:18" s="58" customFormat="1" ht="28.8" x14ac:dyDescent="0.3">
      <c r="A6" s="99" t="s">
        <v>217</v>
      </c>
      <c r="B6" s="107">
        <f>100%-B4-B5</f>
        <v>0.26999999999999996</v>
      </c>
      <c r="C6" s="107">
        <f t="shared" ref="C6:K6" si="1">100%-C4-C5</f>
        <v>0.26999999999999996</v>
      </c>
      <c r="D6" s="107">
        <f t="shared" si="1"/>
        <v>0.25999999999999995</v>
      </c>
      <c r="E6" s="107">
        <f t="shared" si="1"/>
        <v>0.31</v>
      </c>
      <c r="F6" s="107">
        <f t="shared" si="1"/>
        <v>0.28999999999999998</v>
      </c>
      <c r="G6" s="107">
        <f t="shared" si="1"/>
        <v>0.33</v>
      </c>
      <c r="H6" s="107">
        <f t="shared" si="1"/>
        <v>0.35000000000000003</v>
      </c>
      <c r="I6" s="107">
        <f t="shared" si="1"/>
        <v>0.38000000000000006</v>
      </c>
      <c r="J6" s="107">
        <f t="shared" si="1"/>
        <v>0.38000000000000006</v>
      </c>
      <c r="K6" s="107">
        <f t="shared" si="1"/>
        <v>0.5</v>
      </c>
      <c r="L6" s="84" t="s">
        <v>267</v>
      </c>
    </row>
    <row r="7" spans="1:18" s="58" customFormat="1" ht="58.2" x14ac:dyDescent="0.35">
      <c r="A7" s="99" t="s">
        <v>195</v>
      </c>
      <c r="B7" s="80">
        <f>B4*$N$3+B6*$N$2</f>
        <v>0.62267799999999995</v>
      </c>
      <c r="C7" s="80">
        <f>C4*$N$3+C6*$N$2</f>
        <v>0.62267799999999995</v>
      </c>
      <c r="D7" s="80">
        <f>D4*$N$3+D6*$N$2</f>
        <v>0.61832399999999998</v>
      </c>
      <c r="E7" s="80">
        <f t="shared" ref="E7:K7" si="2">E4*$N$3+E6*$N$2</f>
        <v>0.60335800000000006</v>
      </c>
      <c r="F7" s="80">
        <f t="shared" si="2"/>
        <v>0.60383399999999998</v>
      </c>
      <c r="G7" s="80">
        <f t="shared" si="2"/>
        <v>0.59369799999999995</v>
      </c>
      <c r="H7" s="80">
        <f t="shared" si="2"/>
        <v>0.58403800000000006</v>
      </c>
      <c r="I7" s="80">
        <f t="shared" si="2"/>
        <v>0.57873200000000002</v>
      </c>
      <c r="J7" s="80">
        <f t="shared" si="2"/>
        <v>0.57873200000000002</v>
      </c>
      <c r="K7" s="80">
        <f t="shared" si="2"/>
        <v>0.54832400000000003</v>
      </c>
      <c r="L7" s="84" t="s">
        <v>257</v>
      </c>
    </row>
    <row r="8" spans="1:18" s="58" customFormat="1" ht="44.4" thickBot="1" x14ac:dyDescent="0.4">
      <c r="A8" s="128" t="s">
        <v>194</v>
      </c>
      <c r="B8" s="129">
        <f t="shared" ref="B8:K8" si="3">B7*B3</f>
        <v>551045.12287999992</v>
      </c>
      <c r="C8" s="129">
        <f t="shared" si="3"/>
        <v>550696.42319999996</v>
      </c>
      <c r="D8" s="129">
        <f t="shared" si="3"/>
        <v>544823.82611999998</v>
      </c>
      <c r="E8" s="129">
        <f t="shared" si="3"/>
        <v>529519.04796</v>
      </c>
      <c r="F8" s="129">
        <f t="shared" si="3"/>
        <v>523765.6116</v>
      </c>
      <c r="G8" s="129">
        <f t="shared" si="3"/>
        <v>518466.02223117335</v>
      </c>
      <c r="H8" s="129">
        <f t="shared" si="3"/>
        <v>508806.0418444894</v>
      </c>
      <c r="I8" s="129">
        <f t="shared" si="3"/>
        <v>502973.48562429851</v>
      </c>
      <c r="J8" s="129">
        <f t="shared" si="3"/>
        <v>501766.34925880021</v>
      </c>
      <c r="K8" s="129">
        <f t="shared" si="3"/>
        <v>474261.3479381199</v>
      </c>
      <c r="L8" s="130" t="s">
        <v>204</v>
      </c>
      <c r="N8" s="113"/>
      <c r="O8"/>
    </row>
    <row r="9" spans="1:18" ht="15" thickBot="1" x14ac:dyDescent="0.35">
      <c r="A9" s="100" t="s">
        <v>197</v>
      </c>
      <c r="B9" s="81">
        <f>B8</f>
        <v>551045.12287999992</v>
      </c>
      <c r="C9" s="81">
        <f t="shared" ref="C9:K9" si="4">C8</f>
        <v>550696.42319999996</v>
      </c>
      <c r="D9" s="81">
        <f t="shared" si="4"/>
        <v>544823.82611999998</v>
      </c>
      <c r="E9" s="81">
        <f t="shared" si="4"/>
        <v>529519.04796</v>
      </c>
      <c r="F9" s="81">
        <f t="shared" si="4"/>
        <v>523765.6116</v>
      </c>
      <c r="G9" s="81">
        <f t="shared" si="4"/>
        <v>518466.02223117335</v>
      </c>
      <c r="H9" s="81">
        <f t="shared" si="4"/>
        <v>508806.0418444894</v>
      </c>
      <c r="I9" s="81">
        <f t="shared" si="4"/>
        <v>502973.48562429851</v>
      </c>
      <c r="J9" s="81">
        <f t="shared" si="4"/>
        <v>501766.34925880021</v>
      </c>
      <c r="K9" s="81">
        <f t="shared" si="4"/>
        <v>474261.3479381199</v>
      </c>
      <c r="L9" s="88" t="s">
        <v>252</v>
      </c>
      <c r="P9" s="58"/>
      <c r="Q9" s="58"/>
      <c r="R9" s="58"/>
    </row>
    <row r="10" spans="1:18" x14ac:dyDescent="0.3">
      <c r="A10" s="108" t="s">
        <v>218</v>
      </c>
      <c r="B10" s="109"/>
      <c r="C10" s="82"/>
      <c r="D10" s="82"/>
      <c r="E10" s="82"/>
      <c r="F10" s="82"/>
      <c r="G10" s="82"/>
      <c r="H10" s="82"/>
      <c r="I10" s="82"/>
      <c r="J10" s="82"/>
      <c r="K10" s="82"/>
      <c r="P10" s="58"/>
      <c r="Q10" s="58"/>
      <c r="R10" s="58"/>
    </row>
    <row r="11" spans="1:18" ht="16.2" x14ac:dyDescent="0.3">
      <c r="A11" t="s">
        <v>219</v>
      </c>
      <c r="N11" s="4"/>
      <c r="O11" s="4"/>
    </row>
    <row r="12" spans="1:18" x14ac:dyDescent="0.3">
      <c r="A12" s="110" t="s">
        <v>220</v>
      </c>
      <c r="N12" s="121"/>
      <c r="O12" s="121"/>
    </row>
    <row r="13" spans="1:18" s="121" customFormat="1" ht="16.2" x14ac:dyDescent="0.3">
      <c r="A13" s="121" t="s">
        <v>260</v>
      </c>
    </row>
    <row r="14" spans="1:18" s="121" customFormat="1" ht="15.6" x14ac:dyDescent="0.3">
      <c r="A14" s="110" t="s">
        <v>251</v>
      </c>
      <c r="N14" s="4"/>
      <c r="O14" s="4"/>
    </row>
    <row r="15" spans="1:18" ht="15.6" x14ac:dyDescent="0.3">
      <c r="N15" s="4"/>
      <c r="O15" s="4"/>
    </row>
    <row r="16" spans="1:18" s="121" customFormat="1" ht="15.6" x14ac:dyDescent="0.3">
      <c r="L16" s="1"/>
      <c r="M16" s="1"/>
      <c r="P16" s="6"/>
    </row>
    <row r="17" spans="12:16" s="121" customFormat="1" ht="15.6" x14ac:dyDescent="0.3">
      <c r="L17" s="1"/>
      <c r="M17" s="1"/>
      <c r="P17" s="6"/>
    </row>
  </sheetData>
  <mergeCells count="2">
    <mergeCell ref="B1:L1"/>
    <mergeCell ref="N1:O1"/>
  </mergeCells>
  <hyperlinks>
    <hyperlink ref="A12" r:id="rId1"/>
    <hyperlink ref="A14" r:id="rId2"/>
  </hyperlinks>
  <pageMargins left="0.7" right="0.7" top="0.75" bottom="0.75" header="0.3" footer="0.3"/>
  <pageSetup orientation="portrait"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 min="16" max="17" width="12" customWidth="1"/>
    <col min="18" max="18" width="4.33203125" customWidth="1"/>
    <col min="19" max="19" width="14.33203125" customWidth="1"/>
    <col min="20" max="20" width="10.6640625" bestFit="1" customWidth="1"/>
  </cols>
  <sheetData>
    <row r="1" spans="1:16" s="58" customFormat="1" ht="15.6" x14ac:dyDescent="0.3">
      <c r="A1" s="97" t="s">
        <v>34</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58.8" x14ac:dyDescent="0.35">
      <c r="A3" s="99" t="s">
        <v>166</v>
      </c>
      <c r="B3" s="61">
        <f>SUMIFS('Form 1.5a'!J:J, 'Form 1.5a'!$B:$B, "Pasadena")*1000</f>
        <v>1271000</v>
      </c>
      <c r="C3" s="61">
        <f>SUMIFS('Form 1.5a'!K:K, 'Form 1.5a'!$B:$B, "Pasadena")*1000</f>
        <v>1278000</v>
      </c>
      <c r="D3" s="61">
        <f>SUMIFS('Form 1.5a'!L:L, 'Form 1.5a'!$B:$B, "Pasadena")*1000</f>
        <v>1282000</v>
      </c>
      <c r="E3" s="61">
        <f>SUMIFS('Form 1.5a'!M:M, 'Form 1.5a'!$B:$B, "Pasadena")*1000</f>
        <v>1285000</v>
      </c>
      <c r="F3" s="61">
        <f>SUMIFS('Form 1.5a'!N:N, 'Form 1.5a'!$B:$B, "Pasadena")*1000</f>
        <v>1289000</v>
      </c>
      <c r="G3" s="61">
        <f>SUMIFS('Form 1.5a'!O:O, 'Form 1.5a'!$B:$B, "Pasadena")*1000</f>
        <v>1290000</v>
      </c>
      <c r="H3" s="65">
        <f>AVERAGE(E3:G3)*(1+$N$8)</f>
        <v>1293209.8841319729</v>
      </c>
      <c r="I3" s="65">
        <f t="shared" ref="I3:K4" si="0">H3*(1+$N$8)</f>
        <v>1298440.8419383778</v>
      </c>
      <c r="J3" s="65">
        <f t="shared" si="0"/>
        <v>1303692.9586609867</v>
      </c>
      <c r="K3" s="65">
        <f t="shared" si="0"/>
        <v>1308966.3198863692</v>
      </c>
      <c r="L3" s="84" t="s">
        <v>209</v>
      </c>
      <c r="N3" s="62">
        <v>0.91839999999999999</v>
      </c>
      <c r="O3" s="8" t="s">
        <v>199</v>
      </c>
    </row>
    <row r="4" spans="1:16" s="58" customFormat="1" ht="57.6" x14ac:dyDescent="0.3">
      <c r="A4" s="99" t="s">
        <v>167</v>
      </c>
      <c r="B4" s="61">
        <f>SUMIFS('Form 1.1c'!J:J, 'Form 1.1c'!$B:$B, "City of Pasadena")*1000</f>
        <v>1192000</v>
      </c>
      <c r="C4" s="61">
        <f>SUMIFS('Form 1.1c'!K:K, 'Form 1.1c'!$B:$B, "City of Pasadena")*1000</f>
        <v>1199000</v>
      </c>
      <c r="D4" s="61">
        <f>SUMIFS('Form 1.1c'!L:L, 'Form 1.1c'!$B:$B, "City of Pasadena")*1000</f>
        <v>1203000</v>
      </c>
      <c r="E4" s="61">
        <f>SUMIFS('Form 1.1c'!M:M, 'Form 1.1c'!$B:$B, "City of Pasadena")*1000</f>
        <v>1205000</v>
      </c>
      <c r="F4" s="61">
        <f>SUMIFS('Form 1.1c'!N:N, 'Form 1.1c'!$B:$B, "City of Pasadena")*1000</f>
        <v>1209000</v>
      </c>
      <c r="G4" s="61">
        <f>SUMIFS('Form 1.1c'!O:O, 'Form 1.1c'!$B:$B, "City of Pasadena")*1000</f>
        <v>1210000</v>
      </c>
      <c r="H4" s="65">
        <f>AVERAGE(E4:G4)*(1+$N$8)</f>
        <v>1212886.2888442727</v>
      </c>
      <c r="I4" s="61">
        <f t="shared" si="0"/>
        <v>1217792.3424390997</v>
      </c>
      <c r="J4" s="61">
        <f t="shared" si="0"/>
        <v>1222718.2407317329</v>
      </c>
      <c r="K4" s="61">
        <f t="shared" si="0"/>
        <v>1227664.0639928058</v>
      </c>
      <c r="L4" s="84" t="s">
        <v>211</v>
      </c>
      <c r="N4" s="68">
        <f>0.15</f>
        <v>0.15</v>
      </c>
      <c r="O4" s="84" t="s">
        <v>165</v>
      </c>
    </row>
    <row r="5" spans="1:16" s="58" customFormat="1" ht="28.8" x14ac:dyDescent="0.3">
      <c r="A5" s="99" t="s">
        <v>191</v>
      </c>
      <c r="B5" s="61">
        <f>IF(0&lt;(B3-B4)/B3,B4,B3*(1-$N$5))</f>
        <v>1192000</v>
      </c>
      <c r="C5" s="61">
        <f t="shared" ref="C5:K5" si="1">IF(0&lt;(C3-C4)/C3,C4,C3*(1-$N$5))</f>
        <v>1199000</v>
      </c>
      <c r="D5" s="61">
        <f t="shared" si="1"/>
        <v>1203000</v>
      </c>
      <c r="E5" s="61">
        <f t="shared" si="1"/>
        <v>1205000</v>
      </c>
      <c r="F5" s="61">
        <f t="shared" si="1"/>
        <v>1209000</v>
      </c>
      <c r="G5" s="61">
        <f t="shared" si="1"/>
        <v>1210000</v>
      </c>
      <c r="H5" s="61">
        <f t="shared" si="1"/>
        <v>1212886.2888442727</v>
      </c>
      <c r="I5" s="61">
        <f t="shared" si="1"/>
        <v>1217792.3424390997</v>
      </c>
      <c r="J5" s="61">
        <f t="shared" si="1"/>
        <v>1222718.2407317329</v>
      </c>
      <c r="K5" s="61">
        <f t="shared" si="1"/>
        <v>1227664.0639928058</v>
      </c>
      <c r="L5" s="84" t="s">
        <v>271</v>
      </c>
      <c r="N5" s="68">
        <f>0.07</f>
        <v>7.0000000000000007E-2</v>
      </c>
      <c r="O5" s="84" t="s">
        <v>275</v>
      </c>
    </row>
    <row r="6" spans="1:16" s="58" customFormat="1" ht="57.6" x14ac:dyDescent="0.3">
      <c r="A6" s="99" t="s">
        <v>168</v>
      </c>
      <c r="B6" s="61">
        <v>669106</v>
      </c>
      <c r="C6" s="61">
        <v>643608</v>
      </c>
      <c r="D6" s="61">
        <v>649389</v>
      </c>
      <c r="E6" s="61">
        <v>659010</v>
      </c>
      <c r="F6" s="61">
        <f>F3-SUM(F7:F8,F10:F11)</f>
        <v>643115</v>
      </c>
      <c r="G6" s="61">
        <f>G3-SUM(G7:G8,G10:G11)</f>
        <v>631595</v>
      </c>
      <c r="H6" s="61">
        <f>G6/2</f>
        <v>315797.5</v>
      </c>
      <c r="I6" s="61">
        <v>0</v>
      </c>
      <c r="J6" s="61">
        <v>0</v>
      </c>
      <c r="K6" s="61">
        <v>0</v>
      </c>
      <c r="L6" s="112" t="s">
        <v>367</v>
      </c>
      <c r="N6" s="63">
        <v>0.05</v>
      </c>
      <c r="O6" s="84" t="s">
        <v>200</v>
      </c>
    </row>
    <row r="7" spans="1:16" s="58" customFormat="1" ht="43.2" x14ac:dyDescent="0.3">
      <c r="A7" s="99" t="s">
        <v>169</v>
      </c>
      <c r="B7" s="61">
        <v>82378</v>
      </c>
      <c r="C7" s="61">
        <v>82388</v>
      </c>
      <c r="D7" s="61">
        <v>82388</v>
      </c>
      <c r="E7" s="61">
        <v>82616</v>
      </c>
      <c r="F7" s="61">
        <f>AVERAGE(C7:E7)</f>
        <v>82464</v>
      </c>
      <c r="G7" s="61">
        <f>F7</f>
        <v>82464</v>
      </c>
      <c r="H7" s="61">
        <f t="shared" ref="H7:K8" si="2">G7</f>
        <v>82464</v>
      </c>
      <c r="I7" s="61">
        <f t="shared" si="2"/>
        <v>82464</v>
      </c>
      <c r="J7" s="61">
        <f t="shared" si="2"/>
        <v>82464</v>
      </c>
      <c r="K7" s="61">
        <f t="shared" si="2"/>
        <v>82464</v>
      </c>
      <c r="L7" s="84" t="s">
        <v>234</v>
      </c>
      <c r="O7" s="101"/>
    </row>
    <row r="8" spans="1:16" s="58" customFormat="1" ht="28.8" x14ac:dyDescent="0.3">
      <c r="A8" s="99" t="s">
        <v>170</v>
      </c>
      <c r="B8" s="65">
        <v>51641</v>
      </c>
      <c r="C8" s="65">
        <v>51641</v>
      </c>
      <c r="D8" s="65">
        <v>51641</v>
      </c>
      <c r="E8" s="65">
        <v>51641</v>
      </c>
      <c r="F8" s="61">
        <f>AVERAGE(C8:E8)</f>
        <v>51641</v>
      </c>
      <c r="G8" s="61">
        <f>F8</f>
        <v>51641</v>
      </c>
      <c r="H8" s="61">
        <f t="shared" si="2"/>
        <v>51641</v>
      </c>
      <c r="I8" s="61">
        <f t="shared" si="2"/>
        <v>51641</v>
      </c>
      <c r="J8" s="61">
        <f t="shared" si="2"/>
        <v>51641</v>
      </c>
      <c r="K8" s="61">
        <f t="shared" si="2"/>
        <v>51641</v>
      </c>
      <c r="L8" s="84" t="s">
        <v>230</v>
      </c>
      <c r="N8" s="64">
        <v>4.044941096252197E-3</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357600</v>
      </c>
      <c r="C10" s="61">
        <f t="shared" ref="C10:K10" si="3">C5*C9</f>
        <v>371690</v>
      </c>
      <c r="D10" s="61">
        <f t="shared" si="3"/>
        <v>396990</v>
      </c>
      <c r="E10" s="61">
        <f t="shared" si="3"/>
        <v>421750</v>
      </c>
      <c r="F10" s="61">
        <f t="shared" si="3"/>
        <v>447330</v>
      </c>
      <c r="G10" s="61">
        <f t="shared" si="3"/>
        <v>459800</v>
      </c>
      <c r="H10" s="61">
        <f t="shared" si="3"/>
        <v>485154.51553770911</v>
      </c>
      <c r="I10" s="61">
        <f t="shared" si="3"/>
        <v>511472.78382442187</v>
      </c>
      <c r="J10" s="61">
        <f t="shared" si="3"/>
        <v>525768.84351464512</v>
      </c>
      <c r="K10" s="61">
        <f t="shared" si="3"/>
        <v>552448.82879676262</v>
      </c>
      <c r="L10" s="84" t="s">
        <v>376</v>
      </c>
      <c r="N10" s="122"/>
      <c r="O10" s="60"/>
    </row>
    <row r="11" spans="1:16" s="58" customFormat="1" ht="28.8" x14ac:dyDescent="0.3">
      <c r="A11" s="99" t="s">
        <v>172</v>
      </c>
      <c r="B11" s="61">
        <f t="shared" ref="B11:K11" si="4">MAX(B3-SUM(B6:B8,B10), B3*$N$6)</f>
        <v>110275</v>
      </c>
      <c r="C11" s="61">
        <f t="shared" si="4"/>
        <v>128673</v>
      </c>
      <c r="D11" s="61">
        <f t="shared" si="4"/>
        <v>101592</v>
      </c>
      <c r="E11" s="61">
        <f t="shared" si="4"/>
        <v>69983</v>
      </c>
      <c r="F11" s="61">
        <f>F3*$N$6</f>
        <v>64450</v>
      </c>
      <c r="G11" s="61">
        <f>G3*$N$6</f>
        <v>64500</v>
      </c>
      <c r="H11" s="61">
        <f t="shared" si="4"/>
        <v>358152.8685942638</v>
      </c>
      <c r="I11" s="61">
        <f t="shared" si="4"/>
        <v>652863.05811395589</v>
      </c>
      <c r="J11" s="61">
        <f t="shared" si="4"/>
        <v>643819.11514634162</v>
      </c>
      <c r="K11" s="61">
        <f t="shared" si="4"/>
        <v>622412.49108960654</v>
      </c>
      <c r="L11" s="84" t="s">
        <v>203</v>
      </c>
    </row>
    <row r="12" spans="1:16" s="58" customFormat="1" ht="43.8" x14ac:dyDescent="0.35">
      <c r="A12" s="99" t="s">
        <v>194</v>
      </c>
      <c r="B12" s="61">
        <f t="shared" ref="B12:K12" si="5">B6*$N$3+B11*$N$2</f>
        <v>662520.68539999996</v>
      </c>
      <c r="C12" s="61">
        <f t="shared" si="5"/>
        <v>647113.81140000001</v>
      </c>
      <c r="D12" s="61">
        <f t="shared" si="5"/>
        <v>640632.01439999999</v>
      </c>
      <c r="E12" s="61">
        <f t="shared" si="5"/>
        <v>635705.38219999999</v>
      </c>
      <c r="F12" s="61">
        <f t="shared" si="5"/>
        <v>618698.34600000002</v>
      </c>
      <c r="G12" s="61">
        <f t="shared" si="5"/>
        <v>608140.14800000004</v>
      </c>
      <c r="H12" s="61">
        <f t="shared" si="5"/>
        <v>445968.18298594246</v>
      </c>
      <c r="I12" s="61">
        <f t="shared" si="5"/>
        <v>284256.57550281641</v>
      </c>
      <c r="J12" s="61">
        <f t="shared" si="5"/>
        <v>280318.84273471712</v>
      </c>
      <c r="K12" s="61">
        <f t="shared" si="5"/>
        <v>270998.39862041472</v>
      </c>
      <c r="L12" s="102" t="s">
        <v>204</v>
      </c>
    </row>
    <row r="13" spans="1:16" s="58" customFormat="1" ht="72" x14ac:dyDescent="0.3">
      <c r="A13" s="99"/>
      <c r="B13" s="204" t="s">
        <v>205</v>
      </c>
      <c r="C13" s="205"/>
      <c r="D13" s="205"/>
      <c r="E13" s="205"/>
      <c r="F13" s="205"/>
      <c r="G13" s="205"/>
      <c r="H13" s="205"/>
      <c r="I13" s="205"/>
      <c r="J13" s="206"/>
      <c r="K13" s="83">
        <v>0</v>
      </c>
      <c r="L13" s="102" t="s">
        <v>368</v>
      </c>
    </row>
    <row r="14" spans="1:16" s="58" customFormat="1" ht="30" x14ac:dyDescent="0.35">
      <c r="A14" s="99" t="s">
        <v>195</v>
      </c>
      <c r="B14" s="80">
        <f t="shared" ref="B14:K14" si="6">B12/B3</f>
        <v>0.52125939055861525</v>
      </c>
      <c r="C14" s="80">
        <f t="shared" si="6"/>
        <v>0.50634883521126761</v>
      </c>
      <c r="D14" s="80">
        <f t="shared" si="6"/>
        <v>0.49971295975038998</v>
      </c>
      <c r="E14" s="80">
        <f t="shared" si="6"/>
        <v>0.49471235968871596</v>
      </c>
      <c r="F14" s="80">
        <f t="shared" si="6"/>
        <v>0.47998320093095426</v>
      </c>
      <c r="G14" s="80">
        <f t="shared" si="6"/>
        <v>0.4714264713178295</v>
      </c>
      <c r="H14" s="80">
        <f t="shared" si="6"/>
        <v>0.34485367646666637</v>
      </c>
      <c r="I14" s="80">
        <f t="shared" si="6"/>
        <v>0.2189214682114157</v>
      </c>
      <c r="J14" s="80">
        <f t="shared" si="6"/>
        <v>0.21501906631652787</v>
      </c>
      <c r="K14" s="80">
        <f t="shared" si="6"/>
        <v>0.20703236936145156</v>
      </c>
      <c r="L14" s="84" t="s">
        <v>206</v>
      </c>
    </row>
    <row r="15" spans="1:16"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c r="N15"/>
      <c r="O15"/>
    </row>
    <row r="16" spans="1:16" ht="29.4" thickBot="1" x14ac:dyDescent="0.35">
      <c r="A16" s="179" t="s">
        <v>197</v>
      </c>
      <c r="B16" s="81">
        <f t="shared" ref="B16:K16" si="8">B12-B15</f>
        <v>662520.68539999996</v>
      </c>
      <c r="C16" s="81">
        <f t="shared" si="8"/>
        <v>647113.81140000001</v>
      </c>
      <c r="D16" s="81">
        <f t="shared" si="8"/>
        <v>640632.01439999999</v>
      </c>
      <c r="E16" s="81">
        <f t="shared" si="8"/>
        <v>635705.38219999999</v>
      </c>
      <c r="F16" s="81">
        <f t="shared" si="8"/>
        <v>618698.34600000002</v>
      </c>
      <c r="G16" s="81">
        <f t="shared" si="8"/>
        <v>608140.14800000004</v>
      </c>
      <c r="H16" s="81">
        <f t="shared" si="8"/>
        <v>445968.18298594246</v>
      </c>
      <c r="I16" s="81">
        <f t="shared" si="8"/>
        <v>284256.57550281641</v>
      </c>
      <c r="J16" s="81">
        <f t="shared" si="8"/>
        <v>280318.84273471712</v>
      </c>
      <c r="K16" s="81">
        <f t="shared" si="8"/>
        <v>270998.39862041472</v>
      </c>
      <c r="L16" s="88" t="s">
        <v>265</v>
      </c>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82"/>
      <c r="J18" s="82"/>
      <c r="K18" s="82"/>
      <c r="N18" s="4"/>
      <c r="O18" s="7"/>
    </row>
  </sheetData>
  <mergeCells count="3">
    <mergeCell ref="B1:L1"/>
    <mergeCell ref="N1:O1"/>
    <mergeCell ref="B13:J13"/>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28</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23497.215181162228</v>
      </c>
      <c r="C3" s="65">
        <f>B3*(1+$N$8)</f>
        <v>23606.278909406028</v>
      </c>
      <c r="D3" s="65">
        <f>C3*(1+$N$8)</f>
        <v>23715.848863461131</v>
      </c>
      <c r="E3" s="65">
        <f>D3*(1+$N$8)</f>
        <v>23825.927393004888</v>
      </c>
      <c r="F3" s="65">
        <f>E3*(1+$N$8)</f>
        <v>23936.516858620816</v>
      </c>
      <c r="G3" s="65">
        <f>F3*(1+$N$8)</f>
        <v>24047.619631849226</v>
      </c>
      <c r="H3" s="65">
        <f t="shared" ref="H3:K4" si="0">G3*(1+$N$8)</f>
        <v>24159.23809523807</v>
      </c>
      <c r="I3" s="65">
        <f t="shared" si="0"/>
        <v>24271.374642394039</v>
      </c>
      <c r="J3" s="65">
        <f t="shared" si="0"/>
        <v>24384.031678033894</v>
      </c>
      <c r="K3" s="65">
        <f t="shared" si="0"/>
        <v>24497.211618036035</v>
      </c>
      <c r="L3" s="84" t="s">
        <v>210</v>
      </c>
      <c r="N3" s="62">
        <v>0.91839999999999999</v>
      </c>
      <c r="O3" s="8" t="s">
        <v>199</v>
      </c>
    </row>
    <row r="4" spans="1:18" s="58" customFormat="1" ht="57.6" x14ac:dyDescent="0.3">
      <c r="A4" s="99" t="s">
        <v>167</v>
      </c>
      <c r="B4" s="61">
        <f>SUMIFS('Form 1.1c'!J:J,'Form 1.1c'!$B:$B,"Island Energy/Pittsburg")*1000</f>
        <v>21000</v>
      </c>
      <c r="C4" s="61">
        <f>SUMIFS('Form 1.1c'!K:K,'Form 1.1c'!$B:$B,"Island Energy/Pittsburg")*1000</f>
        <v>21000</v>
      </c>
      <c r="D4" s="61">
        <f>SUMIFS('Form 1.1c'!L:L,'Form 1.1c'!$B:$B,"Island Energy/Pittsburg")*1000</f>
        <v>21000</v>
      </c>
      <c r="E4" s="61">
        <f>SUMIFS('Form 1.1c'!M:M,'Form 1.1c'!$B:$B,"Island Energy/Pittsburg")*1000</f>
        <v>21000</v>
      </c>
      <c r="F4" s="61">
        <f>SUMIFS('Form 1.1c'!N:N,'Form 1.1c'!$B:$B,"Island Energy/Pittsburg")*1000</f>
        <v>21000</v>
      </c>
      <c r="G4" s="61">
        <f>SUMIFS('Form 1.1c'!O:O,'Form 1.1c'!$B:$B,"Island Energy/Pittsburg")*1000</f>
        <v>21000</v>
      </c>
      <c r="H4" s="65">
        <f>AVERAGE(E4:G4)*(1+$N$8)</f>
        <v>21097.472754769511</v>
      </c>
      <c r="I4" s="61">
        <f t="shared" si="0"/>
        <v>21195.397935154371</v>
      </c>
      <c r="J4" s="61">
        <f t="shared" si="0"/>
        <v>21293.77764111511</v>
      </c>
      <c r="K4" s="61">
        <f t="shared" si="0"/>
        <v>21392.613982359344</v>
      </c>
      <c r="L4" s="84" t="s">
        <v>211</v>
      </c>
      <c r="N4" s="68">
        <f>0.15</f>
        <v>0.15</v>
      </c>
      <c r="O4" s="84" t="s">
        <v>165</v>
      </c>
    </row>
    <row r="5" spans="1:18" s="58" customFormat="1" ht="28.8" x14ac:dyDescent="0.3">
      <c r="A5" s="99" t="s">
        <v>191</v>
      </c>
      <c r="B5" s="61">
        <f>IF(0&lt;(B3-B4)/B3,B4,B3*(1-$N$5))</f>
        <v>21000</v>
      </c>
      <c r="C5" s="61">
        <f t="shared" ref="C5:K5" si="1">IF(0&lt;(C3-C4)/C3,C4,C3*(1-$N$5))</f>
        <v>21000</v>
      </c>
      <c r="D5" s="61">
        <f t="shared" si="1"/>
        <v>21000</v>
      </c>
      <c r="E5" s="61">
        <f t="shared" si="1"/>
        <v>21000</v>
      </c>
      <c r="F5" s="61">
        <f t="shared" si="1"/>
        <v>21000</v>
      </c>
      <c r="G5" s="61">
        <f t="shared" si="1"/>
        <v>21000</v>
      </c>
      <c r="H5" s="61">
        <f t="shared" si="1"/>
        <v>21097.472754769511</v>
      </c>
      <c r="I5" s="61">
        <f t="shared" si="1"/>
        <v>21195.397935154371</v>
      </c>
      <c r="J5" s="61">
        <f t="shared" si="1"/>
        <v>21293.77764111511</v>
      </c>
      <c r="K5" s="61">
        <f t="shared" si="1"/>
        <v>21392.613982359344</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5220</v>
      </c>
      <c r="C8" s="65">
        <f>B8</f>
        <v>5220</v>
      </c>
      <c r="D8" s="65">
        <f t="shared" ref="D8:K8" si="2">C8</f>
        <v>5220</v>
      </c>
      <c r="E8" s="65">
        <f t="shared" si="2"/>
        <v>5220</v>
      </c>
      <c r="F8" s="65">
        <f t="shared" si="2"/>
        <v>5220</v>
      </c>
      <c r="G8" s="65">
        <f t="shared" si="2"/>
        <v>5220</v>
      </c>
      <c r="H8" s="65">
        <f t="shared" si="2"/>
        <v>5220</v>
      </c>
      <c r="I8" s="65">
        <f t="shared" si="2"/>
        <v>5220</v>
      </c>
      <c r="J8" s="65">
        <f t="shared" si="2"/>
        <v>5220</v>
      </c>
      <c r="K8" s="65">
        <f t="shared" si="2"/>
        <v>5220</v>
      </c>
      <c r="L8" s="84" t="s">
        <v>236</v>
      </c>
      <c r="N8" s="64">
        <v>4.6415597509290585E-3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 t="shared" ref="B10:K10" si="3">B5*B9</f>
        <v>6300</v>
      </c>
      <c r="C10" s="61">
        <f t="shared" si="3"/>
        <v>6510</v>
      </c>
      <c r="D10" s="61">
        <f t="shared" si="3"/>
        <v>6930</v>
      </c>
      <c r="E10" s="61">
        <f t="shared" si="3"/>
        <v>7349.9999999999991</v>
      </c>
      <c r="F10" s="61">
        <f t="shared" si="3"/>
        <v>7770</v>
      </c>
      <c r="G10" s="61">
        <f t="shared" si="3"/>
        <v>7980</v>
      </c>
      <c r="H10" s="61">
        <f t="shared" si="3"/>
        <v>8438.9891019078041</v>
      </c>
      <c r="I10" s="61">
        <f t="shared" si="3"/>
        <v>8902.0671327648361</v>
      </c>
      <c r="J10" s="61">
        <f t="shared" si="3"/>
        <v>9156.3243856794979</v>
      </c>
      <c r="K10" s="61">
        <f t="shared" si="3"/>
        <v>9626.6762920617057</v>
      </c>
      <c r="L10" s="84" t="s">
        <v>376</v>
      </c>
      <c r="N10" s="122"/>
      <c r="O10" s="60"/>
    </row>
    <row r="11" spans="1:18" s="58" customFormat="1" ht="28.8" x14ac:dyDescent="0.3">
      <c r="A11" s="99" t="s">
        <v>172</v>
      </c>
      <c r="B11" s="61">
        <f t="shared" ref="B11:K11" si="4">MAX(B3-SUM(B6:B8,B10), B3*$N$6)</f>
        <v>11977.215181162228</v>
      </c>
      <c r="C11" s="61">
        <f t="shared" si="4"/>
        <v>11876.278909406028</v>
      </c>
      <c r="D11" s="61">
        <f t="shared" si="4"/>
        <v>11565.848863461131</v>
      </c>
      <c r="E11" s="61">
        <f t="shared" si="4"/>
        <v>11255.927393004888</v>
      </c>
      <c r="F11" s="61">
        <f t="shared" si="4"/>
        <v>10946.516858620816</v>
      </c>
      <c r="G11" s="61">
        <f t="shared" si="4"/>
        <v>10847.619631849226</v>
      </c>
      <c r="H11" s="61">
        <f t="shared" si="4"/>
        <v>10500.248993330266</v>
      </c>
      <c r="I11" s="61">
        <f t="shared" si="4"/>
        <v>10149.307509629203</v>
      </c>
      <c r="J11" s="61">
        <f t="shared" si="4"/>
        <v>10007.707292354396</v>
      </c>
      <c r="K11" s="61">
        <f t="shared" si="4"/>
        <v>9650.5353259743297</v>
      </c>
      <c r="L11" s="84" t="s">
        <v>203</v>
      </c>
    </row>
    <row r="12" spans="1:18" s="58" customFormat="1" ht="43.8" x14ac:dyDescent="0.35">
      <c r="A12" s="99" t="s">
        <v>194</v>
      </c>
      <c r="B12" s="61">
        <f t="shared" ref="B12:K12" si="5">B6*$N$3+B11*$N$2</f>
        <v>5214.8794898780343</v>
      </c>
      <c r="C12" s="61">
        <f t="shared" si="5"/>
        <v>5170.9318371553845</v>
      </c>
      <c r="D12" s="61">
        <f t="shared" si="5"/>
        <v>5035.770595150977</v>
      </c>
      <c r="E12" s="61">
        <f t="shared" si="5"/>
        <v>4900.8307869143282</v>
      </c>
      <c r="F12" s="61">
        <f t="shared" si="5"/>
        <v>4766.1134402435036</v>
      </c>
      <c r="G12" s="61">
        <f t="shared" si="5"/>
        <v>4723.0535877071534</v>
      </c>
      <c r="H12" s="61">
        <f t="shared" si="5"/>
        <v>4571.8084116959981</v>
      </c>
      <c r="I12" s="61">
        <f t="shared" si="5"/>
        <v>4419.0084896925555</v>
      </c>
      <c r="J12" s="61">
        <f t="shared" si="5"/>
        <v>4357.3557550911046</v>
      </c>
      <c r="K12" s="61">
        <f t="shared" si="5"/>
        <v>4201.8430809292231</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0.2219360656006085</v>
      </c>
      <c r="C14" s="80">
        <f t="shared" si="6"/>
        <v>0.21904900204729019</v>
      </c>
      <c r="D14" s="80">
        <f t="shared" si="6"/>
        <v>0.21233777564291864</v>
      </c>
      <c r="E14" s="80">
        <f t="shared" si="6"/>
        <v>0.20569318062948413</v>
      </c>
      <c r="F14" s="80">
        <f t="shared" si="6"/>
        <v>0.19911474457182654</v>
      </c>
      <c r="G14" s="80">
        <f t="shared" si="6"/>
        <v>0.19640420382613802</v>
      </c>
      <c r="H14" s="80">
        <f t="shared" si="6"/>
        <v>0.18923644833804296</v>
      </c>
      <c r="I14" s="80">
        <f t="shared" si="6"/>
        <v>0.1820666754479581</v>
      </c>
      <c r="J14" s="80">
        <f t="shared" si="6"/>
        <v>0.17869710032473357</v>
      </c>
      <c r="K14" s="80">
        <f t="shared" si="6"/>
        <v>0.17152332054949562</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5214.8794898780343</v>
      </c>
      <c r="C16" s="81">
        <f t="shared" si="8"/>
        <v>5170.9318371553845</v>
      </c>
      <c r="D16" s="81">
        <f t="shared" si="8"/>
        <v>5035.770595150977</v>
      </c>
      <c r="E16" s="81">
        <f t="shared" si="8"/>
        <v>4900.8307869143282</v>
      </c>
      <c r="F16" s="81">
        <f t="shared" si="8"/>
        <v>4766.1134402435036</v>
      </c>
      <c r="G16" s="81">
        <f t="shared" si="8"/>
        <v>4723.0535877071534</v>
      </c>
      <c r="H16" s="81">
        <f t="shared" si="8"/>
        <v>4571.8084116959981</v>
      </c>
      <c r="I16" s="81">
        <f t="shared" si="8"/>
        <v>4419.0084896925555</v>
      </c>
      <c r="J16" s="81">
        <f t="shared" si="8"/>
        <v>4357.3557550911046</v>
      </c>
      <c r="K16" s="81">
        <f t="shared" si="8"/>
        <v>4201.8430809292231</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2" max="11" width="11.44140625" customWidth="1"/>
    <col min="12" max="12" width="49.33203125" customWidth="1"/>
    <col min="15" max="15" width="39.5546875" bestFit="1" customWidth="1"/>
  </cols>
  <sheetData>
    <row r="1" spans="1:15" s="58" customFormat="1" x14ac:dyDescent="0.3">
      <c r="A1" s="97" t="s">
        <v>186</v>
      </c>
      <c r="B1" s="199" t="s">
        <v>173</v>
      </c>
      <c r="C1" s="200"/>
      <c r="D1" s="200"/>
      <c r="E1" s="200"/>
      <c r="F1" s="200"/>
      <c r="G1" s="200"/>
      <c r="H1" s="200"/>
      <c r="I1" s="200"/>
      <c r="J1" s="200"/>
      <c r="K1" s="200"/>
      <c r="L1" s="201"/>
      <c r="N1" s="202" t="s">
        <v>193</v>
      </c>
      <c r="O1" s="203"/>
    </row>
    <row r="2" spans="1:15" s="58" customFormat="1" ht="15.6" x14ac:dyDescent="0.35">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369</v>
      </c>
    </row>
    <row r="3" spans="1:15" s="58" customFormat="1" ht="72.599999999999994" x14ac:dyDescent="0.35">
      <c r="A3" s="99" t="s">
        <v>166</v>
      </c>
      <c r="B3" s="61">
        <v>164636.20416845838</v>
      </c>
      <c r="C3" s="61">
        <v>164835.21127022078</v>
      </c>
      <c r="D3" s="61">
        <v>164871.4948480053</v>
      </c>
      <c r="E3" s="61">
        <v>164950.88</v>
      </c>
      <c r="F3" s="61">
        <v>164950.88</v>
      </c>
      <c r="G3" s="61">
        <v>164851.51200000002</v>
      </c>
      <c r="H3" s="65">
        <f>AVERAGE(E3:G3)*(1+$N$8)</f>
        <v>165589.65269083102</v>
      </c>
      <c r="I3" s="65">
        <f t="shared" ref="I3:K4" si="0">H3*(1+$N$8)</f>
        <v>166264.28543318479</v>
      </c>
      <c r="J3" s="65">
        <f t="shared" si="0"/>
        <v>166941.66671283942</v>
      </c>
      <c r="K3" s="65">
        <f t="shared" si="0"/>
        <v>167621.80772767609</v>
      </c>
      <c r="L3" s="84" t="s">
        <v>254</v>
      </c>
      <c r="N3" s="62">
        <v>0.91839999999999999</v>
      </c>
      <c r="O3" s="8" t="s">
        <v>199</v>
      </c>
    </row>
    <row r="4" spans="1:15" s="58" customFormat="1" ht="57.6" x14ac:dyDescent="0.3">
      <c r="A4" s="99" t="s">
        <v>167</v>
      </c>
      <c r="B4" s="61">
        <f>SUMIFS('Form 1.1c'!J:J, 'Form 1.1c'!$B:$B, "Plumas-Sierra Rural Electric Cooperation")*1000</f>
        <v>153000</v>
      </c>
      <c r="C4" s="61">
        <f>SUMIFS('Form 1.1c'!K:K, 'Form 1.1c'!$B:$B, "Plumas-Sierra Rural Electric Cooperation")*1000</f>
        <v>154000</v>
      </c>
      <c r="D4" s="61">
        <f>SUMIFS('Form 1.1c'!L:L, 'Form 1.1c'!$B:$B, "Plumas-Sierra Rural Electric Cooperation")*1000</f>
        <v>155000</v>
      </c>
      <c r="E4" s="61">
        <f>SUMIFS('Form 1.1c'!M:M, 'Form 1.1c'!$B:$B, "Plumas-Sierra Rural Electric Cooperation")*1000</f>
        <v>156000</v>
      </c>
      <c r="F4" s="61">
        <f>SUMIFS('Form 1.1c'!N:N, 'Form 1.1c'!$B:$B, "Plumas-Sierra Rural Electric Cooperation")*1000</f>
        <v>156000</v>
      </c>
      <c r="G4" s="61">
        <f>SUMIFS('Form 1.1c'!O:O, 'Form 1.1c'!$B:$B, "Plumas-Sierra Rural Electric Cooperation")*1000</f>
        <v>157000</v>
      </c>
      <c r="H4" s="65">
        <f>AVERAGE(E4:G4)*(1+$N$8)</f>
        <v>156970.25468484371</v>
      </c>
      <c r="I4" s="61">
        <f t="shared" si="0"/>
        <v>157609.77093278058</v>
      </c>
      <c r="J4" s="61">
        <f t="shared" si="0"/>
        <v>158251.89264907318</v>
      </c>
      <c r="K4" s="61">
        <f t="shared" si="0"/>
        <v>158896.63044872214</v>
      </c>
      <c r="L4" s="84" t="s">
        <v>211</v>
      </c>
      <c r="N4" s="68">
        <f>0.15</f>
        <v>0.15</v>
      </c>
      <c r="O4" s="59" t="s">
        <v>165</v>
      </c>
    </row>
    <row r="5" spans="1:15" s="58" customFormat="1" ht="28.8" x14ac:dyDescent="0.3">
      <c r="A5" s="99" t="s">
        <v>191</v>
      </c>
      <c r="B5" s="61">
        <f>IF(0&lt;(B3-B4)/B3,B4,B3*(1-$N$5))</f>
        <v>153000</v>
      </c>
      <c r="C5" s="61">
        <f t="shared" ref="C5:K5" si="1">IF(0&lt;(C3-C4)/C3,C4,C3*(1-$N$5))</f>
        <v>154000</v>
      </c>
      <c r="D5" s="61">
        <f t="shared" si="1"/>
        <v>155000</v>
      </c>
      <c r="E5" s="61">
        <f t="shared" si="1"/>
        <v>156000</v>
      </c>
      <c r="F5" s="61">
        <f t="shared" si="1"/>
        <v>156000</v>
      </c>
      <c r="G5" s="61">
        <f t="shared" si="1"/>
        <v>157000</v>
      </c>
      <c r="H5" s="61">
        <f t="shared" si="1"/>
        <v>156970.25468484371</v>
      </c>
      <c r="I5" s="61">
        <f t="shared" si="1"/>
        <v>157609.77093278058</v>
      </c>
      <c r="J5" s="61">
        <f t="shared" si="1"/>
        <v>158251.89264907318</v>
      </c>
      <c r="K5" s="61">
        <f t="shared" si="1"/>
        <v>158896.63044872214</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48813</v>
      </c>
      <c r="C8" s="61">
        <v>48885</v>
      </c>
      <c r="D8" s="61">
        <v>48887</v>
      </c>
      <c r="E8" s="61">
        <v>48897.000000000007</v>
      </c>
      <c r="F8" s="61">
        <v>48913.999999999993</v>
      </c>
      <c r="G8" s="61">
        <v>48903.000000000007</v>
      </c>
      <c r="H8" s="65">
        <f>AVERAGE(E8:G8)</f>
        <v>48904.666666666664</v>
      </c>
      <c r="I8" s="65">
        <f t="shared" ref="I8:K8" si="2">H8</f>
        <v>48904.666666666664</v>
      </c>
      <c r="J8" s="65">
        <f t="shared" si="2"/>
        <v>48904.666666666664</v>
      </c>
      <c r="K8" s="65">
        <f t="shared" si="2"/>
        <v>48904.666666666664</v>
      </c>
      <c r="L8" s="84" t="s">
        <v>244</v>
      </c>
      <c r="N8" s="64">
        <v>4.0741237836483535E-3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 t="shared" ref="B10:K10" si="3">B5*B9</f>
        <v>45900</v>
      </c>
      <c r="C10" s="61">
        <f t="shared" si="3"/>
        <v>47740</v>
      </c>
      <c r="D10" s="61">
        <f t="shared" si="3"/>
        <v>51150</v>
      </c>
      <c r="E10" s="61">
        <f t="shared" si="3"/>
        <v>54600</v>
      </c>
      <c r="F10" s="61">
        <f t="shared" si="3"/>
        <v>57720</v>
      </c>
      <c r="G10" s="61">
        <f t="shared" si="3"/>
        <v>59660</v>
      </c>
      <c r="H10" s="61">
        <f t="shared" si="3"/>
        <v>62788.101873937485</v>
      </c>
      <c r="I10" s="61">
        <f t="shared" si="3"/>
        <v>66196.103791767848</v>
      </c>
      <c r="J10" s="61">
        <f t="shared" si="3"/>
        <v>68048.313839101465</v>
      </c>
      <c r="K10" s="61">
        <f t="shared" si="3"/>
        <v>71503.483701924968</v>
      </c>
      <c r="L10" s="84" t="s">
        <v>376</v>
      </c>
      <c r="N10" s="122"/>
      <c r="O10" s="60"/>
    </row>
    <row r="11" spans="1:15" s="58" customFormat="1" ht="28.8" x14ac:dyDescent="0.3">
      <c r="A11" s="99" t="s">
        <v>172</v>
      </c>
      <c r="B11" s="61">
        <f t="shared" ref="B11:K11" si="4">MAX(B3-SUM(B6:B8,B10), B3*$N$6)</f>
        <v>69923.204168458382</v>
      </c>
      <c r="C11" s="61">
        <f t="shared" si="4"/>
        <v>68210.211270220781</v>
      </c>
      <c r="D11" s="61">
        <f t="shared" si="4"/>
        <v>64834.494848005299</v>
      </c>
      <c r="E11" s="61">
        <f t="shared" si="4"/>
        <v>61453.880000000005</v>
      </c>
      <c r="F11" s="61">
        <f t="shared" si="4"/>
        <v>58316.880000000005</v>
      </c>
      <c r="G11" s="61">
        <f t="shared" si="4"/>
        <v>56288.512000000017</v>
      </c>
      <c r="H11" s="61">
        <f t="shared" si="4"/>
        <v>53896.884150226862</v>
      </c>
      <c r="I11" s="61">
        <f t="shared" si="4"/>
        <v>51163.514974750287</v>
      </c>
      <c r="J11" s="61">
        <f t="shared" si="4"/>
        <v>49988.686207071296</v>
      </c>
      <c r="K11" s="61">
        <f t="shared" si="4"/>
        <v>47213.657359084464</v>
      </c>
      <c r="L11" s="84" t="s">
        <v>203</v>
      </c>
    </row>
    <row r="12" spans="1:15" s="58" customFormat="1" ht="43.8" x14ac:dyDescent="0.35">
      <c r="A12" s="99" t="s">
        <v>194</v>
      </c>
      <c r="B12" s="61">
        <f t="shared" ref="B12:K12" si="5">B6*$N$3+B11*$N$2</f>
        <v>30444.563094946781</v>
      </c>
      <c r="C12" s="61">
        <f t="shared" si="5"/>
        <v>29698.725987054127</v>
      </c>
      <c r="D12" s="61">
        <f t="shared" si="5"/>
        <v>28228.939056821509</v>
      </c>
      <c r="E12" s="61">
        <f t="shared" si="5"/>
        <v>26757.019352000003</v>
      </c>
      <c r="F12" s="61">
        <f t="shared" si="5"/>
        <v>25391.169552000003</v>
      </c>
      <c r="G12" s="61">
        <f t="shared" si="5"/>
        <v>24508.018124800008</v>
      </c>
      <c r="H12" s="61">
        <f t="shared" si="5"/>
        <v>23466.703359008778</v>
      </c>
      <c r="I12" s="61">
        <f t="shared" si="5"/>
        <v>22276.594420006277</v>
      </c>
      <c r="J12" s="61">
        <f t="shared" si="5"/>
        <v>21765.073974558843</v>
      </c>
      <c r="K12" s="61">
        <f t="shared" si="5"/>
        <v>20556.826414145376</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6">B12/B3</f>
        <v>0.18492022000091438</v>
      </c>
      <c r="C14" s="80">
        <f t="shared" si="6"/>
        <v>0.18017222023253179</v>
      </c>
      <c r="D14" s="80">
        <f t="shared" si="6"/>
        <v>0.17121782684657352</v>
      </c>
      <c r="E14" s="80">
        <f t="shared" si="6"/>
        <v>0.16221204368233744</v>
      </c>
      <c r="F14" s="80">
        <f t="shared" si="6"/>
        <v>0.15393170107367721</v>
      </c>
      <c r="G14" s="80">
        <f t="shared" si="6"/>
        <v>0.14866723287803393</v>
      </c>
      <c r="H14" s="80">
        <f t="shared" si="6"/>
        <v>0.14171600083504596</v>
      </c>
      <c r="I14" s="80">
        <f t="shared" si="6"/>
        <v>0.13398304008564954</v>
      </c>
      <c r="J14" s="80">
        <f t="shared" si="6"/>
        <v>0.13037532452576683</v>
      </c>
      <c r="K14" s="80">
        <f t="shared" si="6"/>
        <v>0.12263813815647827</v>
      </c>
      <c r="L14" s="84" t="s">
        <v>206</v>
      </c>
    </row>
    <row r="15" spans="1:15"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5" ht="29.4" thickBot="1" x14ac:dyDescent="0.35">
      <c r="A16" s="179" t="s">
        <v>197</v>
      </c>
      <c r="B16" s="81">
        <f t="shared" ref="B16:K16" si="8">B12-B15</f>
        <v>30444.563094946781</v>
      </c>
      <c r="C16" s="81">
        <f t="shared" si="8"/>
        <v>29698.725987054127</v>
      </c>
      <c r="D16" s="81">
        <f t="shared" si="8"/>
        <v>28228.939056821509</v>
      </c>
      <c r="E16" s="81">
        <f t="shared" si="8"/>
        <v>26757.019352000003</v>
      </c>
      <c r="F16" s="81">
        <f t="shared" si="8"/>
        <v>25391.169552000003</v>
      </c>
      <c r="G16" s="81">
        <f t="shared" si="8"/>
        <v>24508.018124800008</v>
      </c>
      <c r="H16" s="81">
        <f t="shared" si="8"/>
        <v>23466.703359008778</v>
      </c>
      <c r="I16" s="81">
        <f t="shared" si="8"/>
        <v>22276.594420006277</v>
      </c>
      <c r="J16" s="81">
        <f t="shared" si="8"/>
        <v>21765.073974558843</v>
      </c>
      <c r="K16" s="81">
        <f t="shared" si="8"/>
        <v>20556.826414145376</v>
      </c>
      <c r="L16" s="88" t="s">
        <v>265</v>
      </c>
      <c r="M16" s="58"/>
      <c r="N16" s="58"/>
      <c r="O16" s="58"/>
    </row>
    <row r="17" spans="1:15" x14ac:dyDescent="0.3">
      <c r="A17" s="82"/>
      <c r="B17" s="82"/>
      <c r="C17" s="82"/>
      <c r="D17" s="82"/>
      <c r="E17" s="82"/>
      <c r="F17" s="82"/>
      <c r="G17" s="82"/>
      <c r="H17" s="82"/>
      <c r="I17" s="82"/>
      <c r="J17" s="82"/>
      <c r="K17" s="82"/>
      <c r="L17" s="58"/>
      <c r="M17" s="58"/>
      <c r="N17" s="58"/>
      <c r="O17" s="58"/>
    </row>
    <row r="18" spans="1:15" ht="15.6" x14ac:dyDescent="0.3">
      <c r="A18" s="82"/>
      <c r="B18" s="82"/>
      <c r="C18" s="82"/>
      <c r="D18" s="82"/>
      <c r="E18" s="82"/>
      <c r="F18" s="82"/>
      <c r="G18" s="82"/>
      <c r="H18" s="82"/>
      <c r="I18" s="82"/>
      <c r="J18" s="82"/>
      <c r="K18" s="82"/>
      <c r="L18" s="58"/>
      <c r="M18" s="58"/>
      <c r="O18" s="3"/>
    </row>
  </sheetData>
  <mergeCells count="3">
    <mergeCell ref="B1:L1"/>
    <mergeCell ref="N1:O1"/>
    <mergeCell ref="B13:J13"/>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28.8" x14ac:dyDescent="0.3">
      <c r="A1" s="97" t="s">
        <v>187</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554766.66666666663</v>
      </c>
      <c r="C3" s="65">
        <f t="shared" ref="C3:K3" si="0">B3*(1+$N$8)</f>
        <v>554766.66666666663</v>
      </c>
      <c r="D3" s="65">
        <f t="shared" si="0"/>
        <v>554766.66666666663</v>
      </c>
      <c r="E3" s="65">
        <f t="shared" si="0"/>
        <v>554766.66666666663</v>
      </c>
      <c r="F3" s="65">
        <f t="shared" si="0"/>
        <v>554766.66666666663</v>
      </c>
      <c r="G3" s="65">
        <f t="shared" si="0"/>
        <v>554766.66666666663</v>
      </c>
      <c r="H3" s="65">
        <f t="shared" si="0"/>
        <v>554766.66666666663</v>
      </c>
      <c r="I3" s="65">
        <f t="shared" si="0"/>
        <v>554766.66666666663</v>
      </c>
      <c r="J3" s="65">
        <f t="shared" si="0"/>
        <v>554766.66666666663</v>
      </c>
      <c r="K3" s="65">
        <f t="shared" si="0"/>
        <v>554766.66666666663</v>
      </c>
      <c r="L3" s="84" t="s">
        <v>210</v>
      </c>
      <c r="N3" s="62">
        <v>0.91839999999999999</v>
      </c>
      <c r="O3" s="8" t="s">
        <v>199</v>
      </c>
    </row>
    <row r="4" spans="1:18" s="58" customFormat="1" ht="28.8" x14ac:dyDescent="0.3">
      <c r="A4" s="99" t="s">
        <v>167</v>
      </c>
      <c r="B4" s="61">
        <f>B3*(1-$N$5)</f>
        <v>515932.99999999994</v>
      </c>
      <c r="C4" s="61">
        <f t="shared" ref="C4:K4" si="1">C3*(1-$N$5)</f>
        <v>515932.99999999994</v>
      </c>
      <c r="D4" s="61">
        <f t="shared" si="1"/>
        <v>515932.99999999994</v>
      </c>
      <c r="E4" s="61">
        <f t="shared" si="1"/>
        <v>515932.99999999994</v>
      </c>
      <c r="F4" s="61">
        <f t="shared" si="1"/>
        <v>515932.99999999994</v>
      </c>
      <c r="G4" s="61">
        <f t="shared" si="1"/>
        <v>515932.99999999994</v>
      </c>
      <c r="H4" s="61">
        <f t="shared" si="1"/>
        <v>515932.99999999994</v>
      </c>
      <c r="I4" s="61">
        <f t="shared" si="1"/>
        <v>515932.99999999994</v>
      </c>
      <c r="J4" s="61">
        <f t="shared" si="1"/>
        <v>515932.99999999994</v>
      </c>
      <c r="K4" s="61">
        <f t="shared" si="1"/>
        <v>515932.99999999994</v>
      </c>
      <c r="L4" s="84" t="s">
        <v>229</v>
      </c>
      <c r="N4" s="68">
        <f>0.15</f>
        <v>0.15</v>
      </c>
      <c r="O4" s="84" t="s">
        <v>165</v>
      </c>
    </row>
    <row r="5" spans="1:18" s="58" customFormat="1" ht="28.8" x14ac:dyDescent="0.3">
      <c r="A5" s="99" t="s">
        <v>191</v>
      </c>
      <c r="B5" s="61">
        <f>IF(0&lt;(B3-B4)/B3,B4,B3*(1-$N$5))</f>
        <v>515932.99999999994</v>
      </c>
      <c r="C5" s="61">
        <f t="shared" ref="C5:K5" si="2">IF(0&lt;(C3-C4)/C3,C4,C3*(1-$N$5))</f>
        <v>515932.99999999994</v>
      </c>
      <c r="D5" s="61">
        <f t="shared" si="2"/>
        <v>515932.99999999994</v>
      </c>
      <c r="E5" s="61">
        <f t="shared" si="2"/>
        <v>515932.99999999994</v>
      </c>
      <c r="F5" s="61">
        <f t="shared" si="2"/>
        <v>515932.99999999994</v>
      </c>
      <c r="G5" s="61">
        <f t="shared" si="2"/>
        <v>515932.99999999994</v>
      </c>
      <c r="H5" s="61">
        <f t="shared" si="2"/>
        <v>515932.99999999994</v>
      </c>
      <c r="I5" s="61">
        <f t="shared" si="2"/>
        <v>515932.99999999994</v>
      </c>
      <c r="J5" s="61">
        <f t="shared" si="2"/>
        <v>515932.99999999994</v>
      </c>
      <c r="K5" s="61">
        <f t="shared" si="2"/>
        <v>515932.99999999994</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5">
        <v>167833.33333333334</v>
      </c>
      <c r="C8" s="65">
        <f>B8</f>
        <v>167833.33333333334</v>
      </c>
      <c r="D8" s="65">
        <f t="shared" ref="D8:K8" si="3">C8</f>
        <v>167833.33333333334</v>
      </c>
      <c r="E8" s="65">
        <f t="shared" si="3"/>
        <v>167833.33333333334</v>
      </c>
      <c r="F8" s="65">
        <f t="shared" si="3"/>
        <v>167833.33333333334</v>
      </c>
      <c r="G8" s="65">
        <f t="shared" si="3"/>
        <v>167833.33333333334</v>
      </c>
      <c r="H8" s="65">
        <f t="shared" si="3"/>
        <v>167833.33333333334</v>
      </c>
      <c r="I8" s="65">
        <f t="shared" si="3"/>
        <v>167833.33333333334</v>
      </c>
      <c r="J8" s="65">
        <f t="shared" si="3"/>
        <v>167833.33333333334</v>
      </c>
      <c r="K8" s="65">
        <f t="shared" si="3"/>
        <v>167833.33333333334</v>
      </c>
      <c r="L8" s="84" t="s">
        <v>236</v>
      </c>
      <c r="N8" s="64">
        <v>0</v>
      </c>
      <c r="O8" s="84" t="s">
        <v>242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154779.89999999997</v>
      </c>
      <c r="C10" s="61">
        <f t="shared" ref="C10:K10" si="4">C5*C9</f>
        <v>159939.22999999998</v>
      </c>
      <c r="D10" s="61">
        <f t="shared" si="4"/>
        <v>170257.88999999998</v>
      </c>
      <c r="E10" s="61">
        <f t="shared" si="4"/>
        <v>180576.54999999996</v>
      </c>
      <c r="F10" s="61">
        <f t="shared" si="4"/>
        <v>190895.20999999996</v>
      </c>
      <c r="G10" s="61">
        <f t="shared" si="4"/>
        <v>196054.53999999998</v>
      </c>
      <c r="H10" s="61">
        <f t="shared" si="4"/>
        <v>206373.19999999998</v>
      </c>
      <c r="I10" s="61">
        <f t="shared" si="4"/>
        <v>216691.85999999996</v>
      </c>
      <c r="J10" s="61">
        <f t="shared" si="4"/>
        <v>221851.18999999997</v>
      </c>
      <c r="K10" s="61">
        <f t="shared" si="4"/>
        <v>232169.84999999998</v>
      </c>
      <c r="L10" s="84" t="s">
        <v>376</v>
      </c>
      <c r="N10" s="122"/>
      <c r="O10" s="60"/>
    </row>
    <row r="11" spans="1:18" s="58" customFormat="1" ht="28.8" x14ac:dyDescent="0.3">
      <c r="A11" s="99" t="s">
        <v>172</v>
      </c>
      <c r="B11" s="61">
        <f t="shared" ref="B11:K11" si="5">MAX(B3-SUM(B6:B8,B10), B3*$N$6)</f>
        <v>232153.43333333335</v>
      </c>
      <c r="C11" s="61">
        <f t="shared" si="5"/>
        <v>226994.10333333327</v>
      </c>
      <c r="D11" s="61">
        <f t="shared" si="5"/>
        <v>216675.4433333333</v>
      </c>
      <c r="E11" s="61">
        <f t="shared" si="5"/>
        <v>206356.78333333333</v>
      </c>
      <c r="F11" s="61">
        <f t="shared" si="5"/>
        <v>196038.12333333329</v>
      </c>
      <c r="G11" s="61">
        <f t="shared" si="5"/>
        <v>190878.79333333333</v>
      </c>
      <c r="H11" s="61">
        <f t="shared" si="5"/>
        <v>180560.1333333333</v>
      </c>
      <c r="I11" s="61">
        <f t="shared" si="5"/>
        <v>170241.47333333333</v>
      </c>
      <c r="J11" s="61">
        <f t="shared" si="5"/>
        <v>165082.14333333331</v>
      </c>
      <c r="K11" s="61">
        <f t="shared" si="5"/>
        <v>154763.48333333328</v>
      </c>
      <c r="L11" s="84" t="s">
        <v>203</v>
      </c>
    </row>
    <row r="12" spans="1:18" s="58" customFormat="1" ht="43.8" x14ac:dyDescent="0.35">
      <c r="A12" s="99" t="s">
        <v>194</v>
      </c>
      <c r="B12" s="61">
        <f t="shared" ref="B12:K12" si="6">B6*$N$3+B11*$N$2</f>
        <v>101079.60487333334</v>
      </c>
      <c r="C12" s="61">
        <f t="shared" si="6"/>
        <v>98833.232591333304</v>
      </c>
      <c r="D12" s="61">
        <f t="shared" si="6"/>
        <v>94340.488027333326</v>
      </c>
      <c r="E12" s="61">
        <f t="shared" si="6"/>
        <v>89847.743463333332</v>
      </c>
      <c r="F12" s="61">
        <f t="shared" si="6"/>
        <v>85354.998899333325</v>
      </c>
      <c r="G12" s="61">
        <f t="shared" si="6"/>
        <v>83108.626617333342</v>
      </c>
      <c r="H12" s="61">
        <f t="shared" si="6"/>
        <v>78615.88205333332</v>
      </c>
      <c r="I12" s="61">
        <f t="shared" si="6"/>
        <v>74123.137489333327</v>
      </c>
      <c r="J12" s="61">
        <f t="shared" si="6"/>
        <v>71876.76520733333</v>
      </c>
      <c r="K12" s="61">
        <f t="shared" si="6"/>
        <v>67384.020643333308</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7">B12/B3</f>
        <v>0.1822020156342006</v>
      </c>
      <c r="C14" s="80">
        <f t="shared" si="7"/>
        <v>0.17815279563420053</v>
      </c>
      <c r="D14" s="80">
        <f t="shared" si="7"/>
        <v>0.17005435563420057</v>
      </c>
      <c r="E14" s="80">
        <f t="shared" si="7"/>
        <v>0.16195591563420059</v>
      </c>
      <c r="F14" s="80">
        <f t="shared" si="7"/>
        <v>0.15385747563420055</v>
      </c>
      <c r="G14" s="80">
        <f t="shared" si="7"/>
        <v>0.14980825563420058</v>
      </c>
      <c r="H14" s="80">
        <f t="shared" si="7"/>
        <v>0.14170981563420054</v>
      </c>
      <c r="I14" s="80">
        <f t="shared" si="7"/>
        <v>0.13361137563420056</v>
      </c>
      <c r="J14" s="80">
        <f t="shared" si="7"/>
        <v>0.12956215563420057</v>
      </c>
      <c r="K14" s="80">
        <f t="shared" si="7"/>
        <v>0.12146371563420053</v>
      </c>
      <c r="L14" s="84" t="s">
        <v>206</v>
      </c>
    </row>
    <row r="15" spans="1:18" s="58" customFormat="1" ht="30.6" thickBot="1" x14ac:dyDescent="0.4">
      <c r="A15" s="99" t="s">
        <v>196</v>
      </c>
      <c r="B15" s="79">
        <f>$K$13*B14</f>
        <v>0</v>
      </c>
      <c r="C15" s="79">
        <f t="shared" ref="C15:K15" si="8">$K$13*C14</f>
        <v>0</v>
      </c>
      <c r="D15" s="79">
        <f t="shared" si="8"/>
        <v>0</v>
      </c>
      <c r="E15" s="79">
        <f t="shared" si="8"/>
        <v>0</v>
      </c>
      <c r="F15" s="79">
        <f t="shared" si="8"/>
        <v>0</v>
      </c>
      <c r="G15" s="79">
        <f t="shared" si="8"/>
        <v>0</v>
      </c>
      <c r="H15" s="79">
        <f t="shared" si="8"/>
        <v>0</v>
      </c>
      <c r="I15" s="79">
        <f t="shared" si="8"/>
        <v>0</v>
      </c>
      <c r="J15" s="79">
        <f t="shared" si="8"/>
        <v>0</v>
      </c>
      <c r="K15" s="79">
        <f t="shared" si="8"/>
        <v>0</v>
      </c>
      <c r="L15" s="84" t="s">
        <v>250</v>
      </c>
    </row>
    <row r="16" spans="1:18" ht="29.4" thickBot="1" x14ac:dyDescent="0.35">
      <c r="A16" s="179" t="s">
        <v>197</v>
      </c>
      <c r="B16" s="81">
        <f t="shared" ref="B16:K16" si="9">B12-B15</f>
        <v>101079.60487333334</v>
      </c>
      <c r="C16" s="81">
        <f t="shared" si="9"/>
        <v>98833.232591333304</v>
      </c>
      <c r="D16" s="81">
        <f t="shared" si="9"/>
        <v>94340.488027333326</v>
      </c>
      <c r="E16" s="81">
        <f t="shared" si="9"/>
        <v>89847.743463333332</v>
      </c>
      <c r="F16" s="81">
        <f t="shared" si="9"/>
        <v>85354.998899333325</v>
      </c>
      <c r="G16" s="81">
        <f t="shared" si="9"/>
        <v>83108.626617333342</v>
      </c>
      <c r="H16" s="81">
        <f t="shared" si="9"/>
        <v>78615.88205333332</v>
      </c>
      <c r="I16" s="81">
        <f t="shared" si="9"/>
        <v>74123.137489333327</v>
      </c>
      <c r="J16" s="81">
        <f t="shared" si="9"/>
        <v>71876.76520733333</v>
      </c>
      <c r="K16" s="81">
        <f t="shared" si="9"/>
        <v>67384.020643333308</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 min="16" max="17" width="12" customWidth="1"/>
    <col min="18" max="18" width="11.44140625" customWidth="1"/>
    <col min="19" max="19" width="14.33203125" customWidth="1"/>
    <col min="20" max="20" width="10.6640625" bestFit="1" customWidth="1"/>
  </cols>
  <sheetData>
    <row r="1" spans="1:18" s="58" customFormat="1" ht="15.6" x14ac:dyDescent="0.3">
      <c r="A1" s="97" t="s">
        <v>22</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1.5a'!$B:$B, "Redding")*1000</f>
        <v>880000</v>
      </c>
      <c r="C3" s="61">
        <f>SUMIFS('Form 1.5a'!K:K, 'Form 1.5a'!$B:$B, "Redding")*1000</f>
        <v>890000</v>
      </c>
      <c r="D3" s="61">
        <f>SUMIFS('Form 1.5a'!L:L, 'Form 1.5a'!$B:$B, "Redding")*1000</f>
        <v>900000</v>
      </c>
      <c r="E3" s="61">
        <f>SUMIFS('Form 1.5a'!M:M, 'Form 1.5a'!$B:$B, "Redding")*1000</f>
        <v>909000</v>
      </c>
      <c r="F3" s="61">
        <f>SUMIFS('Form 1.5a'!N:N, 'Form 1.5a'!$B:$B, "Redding")*1000</f>
        <v>918000</v>
      </c>
      <c r="G3" s="61">
        <f>SUMIFS('Form 1.5a'!O:O, 'Form 1.5a'!$B:$B, "Redding")*1000</f>
        <v>927000</v>
      </c>
      <c r="H3" s="65">
        <f>AVERAGE(E3:G3)*(1+$N$8)</f>
        <v>927714.09358947049</v>
      </c>
      <c r="I3" s="65">
        <f t="shared" ref="I3:K4" si="0">H3*(1+$N$8)</f>
        <v>937530.97978707275</v>
      </c>
      <c r="J3" s="65">
        <f t="shared" si="0"/>
        <v>947451.74632376083</v>
      </c>
      <c r="K3" s="65">
        <f t="shared" si="0"/>
        <v>957477.49244064128</v>
      </c>
      <c r="L3" s="84" t="s">
        <v>209</v>
      </c>
      <c r="N3" s="62">
        <v>0.91839999999999999</v>
      </c>
      <c r="O3" s="8" t="s">
        <v>199</v>
      </c>
    </row>
    <row r="4" spans="1:18" s="58" customFormat="1" ht="57.6" x14ac:dyDescent="0.3">
      <c r="A4" s="99" t="s">
        <v>167</v>
      </c>
      <c r="B4" s="61">
        <f>SUMIFS('Form 1.1c'!J:J, 'Form 1.1c'!$B:$B, "City of Redding")*1000</f>
        <v>827000</v>
      </c>
      <c r="C4" s="61">
        <f>SUMIFS('Form 1.1c'!K:K, 'Form 1.1c'!$B:$B, "City of Redding")*1000</f>
        <v>837000</v>
      </c>
      <c r="D4" s="61">
        <f>SUMIFS('Form 1.1c'!L:L, 'Form 1.1c'!$B:$B, "City of Redding")*1000</f>
        <v>846000</v>
      </c>
      <c r="E4" s="61">
        <f>SUMIFS('Form 1.1c'!M:M, 'Form 1.1c'!$B:$B, "City of Redding")*1000</f>
        <v>855000</v>
      </c>
      <c r="F4" s="61">
        <f>SUMIFS('Form 1.1c'!N:N, 'Form 1.1c'!$B:$B, "City of Redding")*1000</f>
        <v>864000</v>
      </c>
      <c r="G4" s="61">
        <f>SUMIFS('Form 1.1c'!O:O, 'Form 1.1c'!$B:$B, "City of Redding")*1000</f>
        <v>872000</v>
      </c>
      <c r="H4" s="65">
        <f>AVERAGE(E4:G4)*(1+$N$8)</f>
        <v>872805.81571906968</v>
      </c>
      <c r="I4" s="61">
        <f t="shared" si="0"/>
        <v>882041.67343075725</v>
      </c>
      <c r="J4" s="61">
        <f t="shared" si="0"/>
        <v>891375.26315354544</v>
      </c>
      <c r="K4" s="61">
        <f t="shared" si="0"/>
        <v>900807.619068156</v>
      </c>
      <c r="L4" s="84" t="s">
        <v>211</v>
      </c>
      <c r="N4" s="68">
        <f>0.15</f>
        <v>0.15</v>
      </c>
      <c r="O4" s="84" t="s">
        <v>165</v>
      </c>
    </row>
    <row r="5" spans="1:18" s="58" customFormat="1" ht="28.8" x14ac:dyDescent="0.3">
      <c r="A5" s="99" t="s">
        <v>191</v>
      </c>
      <c r="B5" s="61">
        <f>IF(0&lt;(B3-B4)/B3,B4,B3*(1-$N$5))</f>
        <v>827000</v>
      </c>
      <c r="C5" s="61">
        <f t="shared" ref="C5:K5" si="1">IF(0&lt;(C3-C4)/C3,C4,C3*(1-$N$5))</f>
        <v>837000</v>
      </c>
      <c r="D5" s="61">
        <f t="shared" si="1"/>
        <v>846000</v>
      </c>
      <c r="E5" s="61">
        <f t="shared" si="1"/>
        <v>855000</v>
      </c>
      <c r="F5" s="61">
        <f t="shared" si="1"/>
        <v>864000</v>
      </c>
      <c r="G5" s="61">
        <f t="shared" si="1"/>
        <v>872000</v>
      </c>
      <c r="H5" s="61">
        <f t="shared" si="1"/>
        <v>872805.81571906968</v>
      </c>
      <c r="I5" s="61">
        <f t="shared" si="1"/>
        <v>882041.67343075725</v>
      </c>
      <c r="J5" s="61">
        <f t="shared" si="1"/>
        <v>891375.26315354544</v>
      </c>
      <c r="K5" s="61">
        <f t="shared" si="1"/>
        <v>900807.619068156</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223</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224</v>
      </c>
      <c r="O7" s="101"/>
    </row>
    <row r="8" spans="1:18" s="58" customFormat="1" ht="28.8" x14ac:dyDescent="0.3">
      <c r="A8" s="99" t="s">
        <v>170</v>
      </c>
      <c r="B8" s="65">
        <v>273890</v>
      </c>
      <c r="C8" s="65">
        <v>273890</v>
      </c>
      <c r="D8" s="65">
        <v>273890</v>
      </c>
      <c r="E8" s="65">
        <v>273890</v>
      </c>
      <c r="F8" s="61">
        <f>AVERAGE(C8:E8)</f>
        <v>273890</v>
      </c>
      <c r="G8" s="61">
        <f>F8</f>
        <v>273890</v>
      </c>
      <c r="H8" s="61">
        <f t="shared" ref="H8:K8" si="2">G8</f>
        <v>273890</v>
      </c>
      <c r="I8" s="61">
        <f t="shared" si="2"/>
        <v>273890</v>
      </c>
      <c r="J8" s="61">
        <f t="shared" si="2"/>
        <v>273890</v>
      </c>
      <c r="K8" s="61">
        <f t="shared" si="2"/>
        <v>273890</v>
      </c>
      <c r="L8" s="84" t="s">
        <v>230</v>
      </c>
      <c r="N8" s="64">
        <v>1.0581801295719506E-2</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248100</v>
      </c>
      <c r="C10" s="61">
        <f t="shared" ref="C10:K10" si="3">C5*C9</f>
        <v>259470</v>
      </c>
      <c r="D10" s="61">
        <f t="shared" si="3"/>
        <v>279180</v>
      </c>
      <c r="E10" s="61">
        <f t="shared" si="3"/>
        <v>299250</v>
      </c>
      <c r="F10" s="61">
        <f t="shared" si="3"/>
        <v>319680</v>
      </c>
      <c r="G10" s="61">
        <f t="shared" si="3"/>
        <v>331360</v>
      </c>
      <c r="H10" s="61">
        <f t="shared" si="3"/>
        <v>349122.32628762792</v>
      </c>
      <c r="I10" s="61">
        <f t="shared" si="3"/>
        <v>370457.50284091802</v>
      </c>
      <c r="J10" s="61">
        <f t="shared" si="3"/>
        <v>383291.36315602454</v>
      </c>
      <c r="K10" s="61">
        <f t="shared" si="3"/>
        <v>405363.42858067021</v>
      </c>
      <c r="L10" s="84" t="s">
        <v>376</v>
      </c>
      <c r="N10" s="122"/>
      <c r="O10" s="60"/>
    </row>
    <row r="11" spans="1:18" s="58" customFormat="1" ht="28.8" x14ac:dyDescent="0.3">
      <c r="A11" s="99" t="s">
        <v>172</v>
      </c>
      <c r="B11" s="61">
        <f t="shared" ref="B11:K11" si="4">MAX(B3-SUM(B6:B8,B10), B3*$N$6)</f>
        <v>358010</v>
      </c>
      <c r="C11" s="61">
        <f t="shared" si="4"/>
        <v>356640</v>
      </c>
      <c r="D11" s="61">
        <f t="shared" si="4"/>
        <v>346930</v>
      </c>
      <c r="E11" s="61">
        <f t="shared" si="4"/>
        <v>335860</v>
      </c>
      <c r="F11" s="61">
        <f t="shared" si="4"/>
        <v>324430</v>
      </c>
      <c r="G11" s="61">
        <f t="shared" si="4"/>
        <v>321750</v>
      </c>
      <c r="H11" s="61">
        <f t="shared" si="4"/>
        <v>304701.76730184257</v>
      </c>
      <c r="I11" s="61">
        <f t="shared" si="4"/>
        <v>293183.47694615473</v>
      </c>
      <c r="J11" s="61">
        <f t="shared" si="4"/>
        <v>290270.38316773623</v>
      </c>
      <c r="K11" s="61">
        <f t="shared" si="4"/>
        <v>278224.06385997112</v>
      </c>
      <c r="L11" s="84" t="s">
        <v>203</v>
      </c>
    </row>
    <row r="12" spans="1:18" s="58" customFormat="1" ht="43.8" x14ac:dyDescent="0.35">
      <c r="A12" s="99" t="s">
        <v>194</v>
      </c>
      <c r="B12" s="61">
        <f t="shared" ref="B12:K12" si="5">B6*$N$3+B11*$N$2</f>
        <v>155877.554</v>
      </c>
      <c r="C12" s="61">
        <f t="shared" si="5"/>
        <v>155281.05600000001</v>
      </c>
      <c r="D12" s="61">
        <f t="shared" si="5"/>
        <v>151053.32200000001</v>
      </c>
      <c r="E12" s="61">
        <f t="shared" si="5"/>
        <v>146233.44399999999</v>
      </c>
      <c r="F12" s="61">
        <f t="shared" si="5"/>
        <v>141256.82200000001</v>
      </c>
      <c r="G12" s="61">
        <f t="shared" si="5"/>
        <v>140089.95000000001</v>
      </c>
      <c r="H12" s="61">
        <f t="shared" si="5"/>
        <v>132667.14948322225</v>
      </c>
      <c r="I12" s="61">
        <f t="shared" si="5"/>
        <v>127652.08586235577</v>
      </c>
      <c r="J12" s="61">
        <f t="shared" si="5"/>
        <v>126383.72483123236</v>
      </c>
      <c r="K12" s="61">
        <f t="shared" si="5"/>
        <v>121138.75740463143</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0.1771335840909091</v>
      </c>
      <c r="C14" s="80">
        <f t="shared" si="6"/>
        <v>0.17447309662921351</v>
      </c>
      <c r="D14" s="80">
        <f t="shared" si="6"/>
        <v>0.16783702444444445</v>
      </c>
      <c r="E14" s="80">
        <f t="shared" si="6"/>
        <v>0.16087287568756875</v>
      </c>
      <c r="F14" s="80">
        <f t="shared" si="6"/>
        <v>0.15387453376906321</v>
      </c>
      <c r="G14" s="80">
        <f t="shared" si="6"/>
        <v>0.15112184466019418</v>
      </c>
      <c r="H14" s="80">
        <f t="shared" si="6"/>
        <v>0.14300434843014226</v>
      </c>
      <c r="I14" s="80">
        <f t="shared" si="6"/>
        <v>0.13615772557334316</v>
      </c>
      <c r="J14" s="80">
        <f t="shared" si="6"/>
        <v>0.13339331034178584</v>
      </c>
      <c r="K14" s="80">
        <f t="shared" si="6"/>
        <v>0.12651864755154171</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155877.554</v>
      </c>
      <c r="C16" s="81">
        <f t="shared" si="8"/>
        <v>155281.05600000001</v>
      </c>
      <c r="D16" s="81">
        <f t="shared" si="8"/>
        <v>151053.32200000001</v>
      </c>
      <c r="E16" s="81">
        <f t="shared" si="8"/>
        <v>146233.44399999999</v>
      </c>
      <c r="F16" s="81">
        <f t="shared" si="8"/>
        <v>141256.82200000001</v>
      </c>
      <c r="G16" s="81">
        <f t="shared" si="8"/>
        <v>140089.95000000001</v>
      </c>
      <c r="H16" s="81">
        <f t="shared" si="8"/>
        <v>132667.14948322225</v>
      </c>
      <c r="I16" s="81">
        <f t="shared" si="8"/>
        <v>127652.08586235577</v>
      </c>
      <c r="J16" s="81">
        <f t="shared" si="8"/>
        <v>126383.72483123236</v>
      </c>
      <c r="K16" s="81">
        <f t="shared" si="8"/>
        <v>121138.75740463143</v>
      </c>
      <c r="L16" s="88" t="s">
        <v>265</v>
      </c>
      <c r="P16" s="58"/>
      <c r="Q16" s="58"/>
      <c r="R16" s="58"/>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82"/>
      <c r="J18" s="82"/>
      <c r="K18" s="82"/>
      <c r="O18" s="4"/>
    </row>
  </sheetData>
  <mergeCells count="3">
    <mergeCell ref="B1:L1"/>
    <mergeCell ref="N1:O1"/>
    <mergeCell ref="B13:J1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4.4" x14ac:dyDescent="0.3"/>
  <cols>
    <col min="1" max="1" width="37.6640625" customWidth="1"/>
    <col min="2" max="11" width="11.44140625" customWidth="1"/>
    <col min="12" max="12" width="49.33203125" customWidth="1"/>
    <col min="14" max="14" width="8.6640625" customWidth="1"/>
    <col min="15" max="15" width="34.109375" customWidth="1"/>
  </cols>
  <sheetData>
    <row r="1" spans="1:16" s="58" customFormat="1" ht="28.8" x14ac:dyDescent="0.3">
      <c r="A1" s="97" t="s">
        <v>3</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58.8" x14ac:dyDescent="0.35">
      <c r="A3" s="99" t="s">
        <v>166</v>
      </c>
      <c r="B3" s="61">
        <f>SUMIFS('Form 1.5a'!J:J, 'Form 1.5a'!$B:$B, "SMUD")*1000</f>
        <v>12275000</v>
      </c>
      <c r="C3" s="61">
        <f>SUMIFS('Form 1.5a'!K:K, 'Form 1.5a'!$B:$B, "SMUD")*1000</f>
        <v>12382000</v>
      </c>
      <c r="D3" s="61">
        <f>SUMIFS('Form 1.5a'!L:L, 'Form 1.5a'!$B:$B, "SMUD")*1000</f>
        <v>12484000</v>
      </c>
      <c r="E3" s="61">
        <f>SUMIFS('Form 1.5a'!M:M, 'Form 1.5a'!$B:$B, "SMUD")*1000</f>
        <v>12589000</v>
      </c>
      <c r="F3" s="61">
        <f>SUMIFS('Form 1.5a'!N:N, 'Form 1.5a'!$B:$B, "SMUD")*1000</f>
        <v>12684000</v>
      </c>
      <c r="G3" s="61">
        <f>SUMIFS('Form 1.5a'!O:O, 'Form 1.5a'!$B:$B, "SMUD")*1000</f>
        <v>12775000</v>
      </c>
      <c r="H3" s="65">
        <f>AVERAGE(E3:G3)*(1+$N$8)</f>
        <v>12817829.612930188</v>
      </c>
      <c r="I3" s="65">
        <f t="shared" ref="I3:K4" si="0">H3*(1+$N$8)</f>
        <v>12954433.03086444</v>
      </c>
      <c r="J3" s="65">
        <f t="shared" si="0"/>
        <v>13092492.272003932</v>
      </c>
      <c r="K3" s="65">
        <f t="shared" si="0"/>
        <v>13232022.851489039</v>
      </c>
      <c r="L3" s="84" t="s">
        <v>209</v>
      </c>
      <c r="N3" s="62">
        <v>0.91839999999999999</v>
      </c>
      <c r="O3" s="8" t="s">
        <v>199</v>
      </c>
    </row>
    <row r="4" spans="1:16" s="58" customFormat="1" ht="57.6" x14ac:dyDescent="0.3">
      <c r="A4" s="99" t="s">
        <v>167</v>
      </c>
      <c r="B4" s="61">
        <f>SUMIFS('Form 1.1c'!J:J, 'Form 1.1c'!$B:$B, "Sacramento Municipal Utility District")*1000</f>
        <v>11542000</v>
      </c>
      <c r="C4" s="61">
        <f>SUMIFS('Form 1.1c'!K:K, 'Form 1.1c'!$B:$B, "Sacramento Municipal Utility District")*1000</f>
        <v>11643000</v>
      </c>
      <c r="D4" s="61">
        <f>SUMIFS('Form 1.1c'!L:L, 'Form 1.1c'!$B:$B, "Sacramento Municipal Utility District")*1000</f>
        <v>11740000</v>
      </c>
      <c r="E4" s="61">
        <f>SUMIFS('Form 1.1c'!M:M, 'Form 1.1c'!$B:$B, "Sacramento Municipal Utility District")*1000</f>
        <v>11839000</v>
      </c>
      <c r="F4" s="61">
        <f>SUMIFS('Form 1.1c'!N:N, 'Form 1.1c'!$B:$B, "Sacramento Municipal Utility District")*1000</f>
        <v>11929000</v>
      </c>
      <c r="G4" s="61">
        <f>SUMIFS('Form 1.1c'!O:O, 'Form 1.1c'!$B:$B, "Sacramento Municipal Utility District")*1000</f>
        <v>12016000</v>
      </c>
      <c r="H4" s="65">
        <f>AVERAGE(E4:G4)*(1+$N$8)</f>
        <v>12055120.239410583</v>
      </c>
      <c r="I4" s="61">
        <f t="shared" si="0"/>
        <v>12183595.236975744</v>
      </c>
      <c r="J4" s="61">
        <f t="shared" si="0"/>
        <v>12313439.430755591</v>
      </c>
      <c r="K4" s="61">
        <f t="shared" si="0"/>
        <v>12444667.412680924</v>
      </c>
      <c r="L4" s="84" t="s">
        <v>211</v>
      </c>
      <c r="N4" s="68">
        <f>0.15</f>
        <v>0.15</v>
      </c>
      <c r="O4" s="84" t="s">
        <v>165</v>
      </c>
    </row>
    <row r="5" spans="1:16" s="58" customFormat="1" ht="28.8" x14ac:dyDescent="0.3">
      <c r="A5" s="99" t="s">
        <v>191</v>
      </c>
      <c r="B5" s="61">
        <f>IF(0&lt;(B3-B4)/B3,B4,B3*(1-$N$5))</f>
        <v>11542000</v>
      </c>
      <c r="C5" s="61">
        <f t="shared" ref="C5:K5" si="1">IF(0&lt;(C3-C4)/C3,C4,C3*(1-$N$5))</f>
        <v>11643000</v>
      </c>
      <c r="D5" s="61">
        <f t="shared" si="1"/>
        <v>11740000</v>
      </c>
      <c r="E5" s="61">
        <f t="shared" si="1"/>
        <v>11839000</v>
      </c>
      <c r="F5" s="61">
        <f t="shared" si="1"/>
        <v>11929000</v>
      </c>
      <c r="G5" s="61">
        <f t="shared" si="1"/>
        <v>12016000</v>
      </c>
      <c r="H5" s="61">
        <f t="shared" si="1"/>
        <v>12055120.239410583</v>
      </c>
      <c r="I5" s="61">
        <f t="shared" si="1"/>
        <v>12183595.236975744</v>
      </c>
      <c r="J5" s="61">
        <f t="shared" si="1"/>
        <v>12313439.430755591</v>
      </c>
      <c r="K5" s="61">
        <f t="shared" si="1"/>
        <v>12444667.412680924</v>
      </c>
      <c r="L5" s="84" t="s">
        <v>271</v>
      </c>
      <c r="N5" s="68">
        <f>0.07</f>
        <v>7.0000000000000007E-2</v>
      </c>
      <c r="O5" s="84" t="s">
        <v>275</v>
      </c>
    </row>
    <row r="6" spans="1:16" s="58" customFormat="1" x14ac:dyDescent="0.3">
      <c r="A6" s="99" t="s">
        <v>168</v>
      </c>
      <c r="B6" s="61">
        <v>0</v>
      </c>
      <c r="C6" s="61">
        <v>0</v>
      </c>
      <c r="D6" s="61">
        <v>0</v>
      </c>
      <c r="E6" s="61">
        <v>0</v>
      </c>
      <c r="F6" s="61">
        <v>0</v>
      </c>
      <c r="G6" s="61">
        <v>0</v>
      </c>
      <c r="H6" s="61">
        <v>0</v>
      </c>
      <c r="I6" s="61">
        <v>0</v>
      </c>
      <c r="J6" s="61">
        <v>0</v>
      </c>
      <c r="K6" s="61">
        <v>0</v>
      </c>
      <c r="L6" s="111" t="s">
        <v>223</v>
      </c>
      <c r="N6" s="63">
        <v>0.05</v>
      </c>
      <c r="O6" s="84" t="s">
        <v>200</v>
      </c>
    </row>
    <row r="7" spans="1:16" s="58" customFormat="1" x14ac:dyDescent="0.3">
      <c r="A7" s="99" t="s">
        <v>169</v>
      </c>
      <c r="B7" s="61">
        <v>0</v>
      </c>
      <c r="C7" s="61">
        <v>0</v>
      </c>
      <c r="D7" s="61">
        <v>0</v>
      </c>
      <c r="E7" s="61">
        <v>0</v>
      </c>
      <c r="F7" s="61">
        <v>0</v>
      </c>
      <c r="G7" s="61">
        <v>0</v>
      </c>
      <c r="H7" s="61">
        <v>0</v>
      </c>
      <c r="I7" s="61">
        <v>0</v>
      </c>
      <c r="J7" s="61">
        <v>0</v>
      </c>
      <c r="K7" s="61">
        <v>0</v>
      </c>
      <c r="L7" s="111" t="s">
        <v>224</v>
      </c>
      <c r="O7" s="101"/>
    </row>
    <row r="8" spans="1:16" s="58" customFormat="1" ht="28.8" x14ac:dyDescent="0.3">
      <c r="A8" s="99" t="s">
        <v>170</v>
      </c>
      <c r="B8" s="65">
        <v>2345799.9999999995</v>
      </c>
      <c r="C8" s="65">
        <v>2345799.9999999995</v>
      </c>
      <c r="D8" s="65">
        <v>2345799.9999999995</v>
      </c>
      <c r="E8" s="65">
        <v>2345799.9999999995</v>
      </c>
      <c r="F8" s="61">
        <f>AVERAGE(C8:E8)</f>
        <v>2345799.9999999995</v>
      </c>
      <c r="G8" s="61">
        <f>F8</f>
        <v>2345799.9999999995</v>
      </c>
      <c r="H8" s="61">
        <f t="shared" ref="H8:K8" si="2">G8</f>
        <v>2345799.9999999995</v>
      </c>
      <c r="I8" s="61">
        <f t="shared" si="2"/>
        <v>2345799.9999999995</v>
      </c>
      <c r="J8" s="61">
        <f t="shared" si="2"/>
        <v>2345799.9999999995</v>
      </c>
      <c r="K8" s="61">
        <f t="shared" si="2"/>
        <v>2345799.9999999995</v>
      </c>
      <c r="L8" s="84" t="s">
        <v>230</v>
      </c>
      <c r="N8" s="64">
        <v>1.0657297066615001E-2</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3462600</v>
      </c>
      <c r="C10" s="61">
        <f t="shared" ref="C10:K10" si="3">C5*C9</f>
        <v>3609330</v>
      </c>
      <c r="D10" s="61">
        <f t="shared" si="3"/>
        <v>3874200</v>
      </c>
      <c r="E10" s="61">
        <f t="shared" si="3"/>
        <v>4143649.9999999995</v>
      </c>
      <c r="F10" s="61">
        <f t="shared" si="3"/>
        <v>4413730</v>
      </c>
      <c r="G10" s="61">
        <f t="shared" si="3"/>
        <v>4566080</v>
      </c>
      <c r="H10" s="61">
        <f t="shared" si="3"/>
        <v>4822048.0957642337</v>
      </c>
      <c r="I10" s="61">
        <f t="shared" si="3"/>
        <v>5117109.9995298125</v>
      </c>
      <c r="J10" s="61">
        <f t="shared" si="3"/>
        <v>5294778.9552249042</v>
      </c>
      <c r="K10" s="61">
        <f t="shared" si="3"/>
        <v>5600100.3357064156</v>
      </c>
      <c r="L10" s="84" t="s">
        <v>376</v>
      </c>
      <c r="N10" s="122"/>
      <c r="O10" s="60"/>
    </row>
    <row r="11" spans="1:16" s="58" customFormat="1" ht="28.8" x14ac:dyDescent="0.3">
      <c r="A11" s="99" t="s">
        <v>172</v>
      </c>
      <c r="B11" s="61">
        <f t="shared" ref="B11:K11" si="4">MAX(B3-SUM(B6:B8,B10), B3*$N$6)</f>
        <v>6466600</v>
      </c>
      <c r="C11" s="61">
        <f t="shared" si="4"/>
        <v>6426870</v>
      </c>
      <c r="D11" s="61">
        <f t="shared" si="4"/>
        <v>6264000</v>
      </c>
      <c r="E11" s="61">
        <f t="shared" si="4"/>
        <v>6099550.0000000009</v>
      </c>
      <c r="F11" s="61">
        <f t="shared" si="4"/>
        <v>5924470</v>
      </c>
      <c r="G11" s="61">
        <f t="shared" si="4"/>
        <v>5863120</v>
      </c>
      <c r="H11" s="61">
        <f t="shared" si="4"/>
        <v>5649981.5171659552</v>
      </c>
      <c r="I11" s="61">
        <f t="shared" si="4"/>
        <v>5491523.0313346274</v>
      </c>
      <c r="J11" s="61">
        <f t="shared" si="4"/>
        <v>5451913.3167790286</v>
      </c>
      <c r="K11" s="61">
        <f t="shared" si="4"/>
        <v>5286122.5157826245</v>
      </c>
      <c r="L11" s="84" t="s">
        <v>203</v>
      </c>
    </row>
    <row r="12" spans="1:16" s="58" customFormat="1" ht="43.8" x14ac:dyDescent="0.35">
      <c r="A12" s="99" t="s">
        <v>194</v>
      </c>
      <c r="B12" s="61">
        <f t="shared" ref="B12:K12" si="5">B6*$N$3+B11*$N$2</f>
        <v>2815557.64</v>
      </c>
      <c r="C12" s="61">
        <f t="shared" si="5"/>
        <v>2798259.1979999999</v>
      </c>
      <c r="D12" s="61">
        <f t="shared" si="5"/>
        <v>2727345.6</v>
      </c>
      <c r="E12" s="61">
        <f t="shared" si="5"/>
        <v>2655744.0700000003</v>
      </c>
      <c r="F12" s="61">
        <f t="shared" si="5"/>
        <v>2579514.2379999999</v>
      </c>
      <c r="G12" s="61">
        <f t="shared" si="5"/>
        <v>2552802.4479999999</v>
      </c>
      <c r="H12" s="61">
        <f t="shared" si="5"/>
        <v>2460001.952574057</v>
      </c>
      <c r="I12" s="61">
        <f t="shared" si="5"/>
        <v>2391009.1278430969</v>
      </c>
      <c r="J12" s="61">
        <f t="shared" si="5"/>
        <v>2373763.058125589</v>
      </c>
      <c r="K12" s="61">
        <f t="shared" si="5"/>
        <v>2301577.7433717549</v>
      </c>
      <c r="L12" s="102" t="s">
        <v>204</v>
      </c>
    </row>
    <row r="13" spans="1:16" s="58" customFormat="1" ht="72" x14ac:dyDescent="0.3">
      <c r="A13" s="99"/>
      <c r="B13" s="204" t="s">
        <v>205</v>
      </c>
      <c r="C13" s="205"/>
      <c r="D13" s="205"/>
      <c r="E13" s="205"/>
      <c r="F13" s="205"/>
      <c r="G13" s="205"/>
      <c r="H13" s="205"/>
      <c r="I13" s="205"/>
      <c r="J13" s="206"/>
      <c r="K13" s="177">
        <v>24654.786333333333</v>
      </c>
      <c r="L13" s="102" t="s">
        <v>368</v>
      </c>
    </row>
    <row r="14" spans="1:16" s="58" customFormat="1" ht="30" x14ac:dyDescent="0.35">
      <c r="A14" s="99" t="s">
        <v>195</v>
      </c>
      <c r="B14" s="80">
        <f t="shared" ref="B14:K14" si="6">B12/B3</f>
        <v>0.22937333116089614</v>
      </c>
      <c r="C14" s="80">
        <f t="shared" si="6"/>
        <v>0.22599412033597155</v>
      </c>
      <c r="D14" s="80">
        <f t="shared" si="6"/>
        <v>0.21846728612624158</v>
      </c>
      <c r="E14" s="80">
        <f t="shared" si="6"/>
        <v>0.21095750814202877</v>
      </c>
      <c r="F14" s="80">
        <f t="shared" si="6"/>
        <v>0.20336756843267106</v>
      </c>
      <c r="G14" s="80">
        <f t="shared" si="6"/>
        <v>0.19982798027397258</v>
      </c>
      <c r="H14" s="80">
        <f t="shared" si="6"/>
        <v>0.19192031934115361</v>
      </c>
      <c r="I14" s="80">
        <f t="shared" si="6"/>
        <v>0.18457072742175784</v>
      </c>
      <c r="J14" s="80">
        <f t="shared" si="6"/>
        <v>0.18130719566674694</v>
      </c>
      <c r="K14" s="80">
        <f t="shared" si="6"/>
        <v>0.17393997646495535</v>
      </c>
      <c r="L14" s="84" t="s">
        <v>206</v>
      </c>
    </row>
    <row r="15" spans="1:16" s="58" customFormat="1" ht="30.6" thickBot="1" x14ac:dyDescent="0.4">
      <c r="A15" s="99" t="s">
        <v>196</v>
      </c>
      <c r="B15" s="79">
        <f>$K$13*B14</f>
        <v>5655.1504703368028</v>
      </c>
      <c r="C15" s="79">
        <f t="shared" ref="C15:K15" si="7">$K$13*C14</f>
        <v>5571.8367494730001</v>
      </c>
      <c r="D15" s="79">
        <f t="shared" si="7"/>
        <v>5386.2642602656842</v>
      </c>
      <c r="E15" s="79">
        <f t="shared" si="7"/>
        <v>5201.1122886541461</v>
      </c>
      <c r="F15" s="79">
        <f t="shared" si="7"/>
        <v>5013.9839468370501</v>
      </c>
      <c r="G15" s="79">
        <f t="shared" si="7"/>
        <v>4926.7161570763419</v>
      </c>
      <c r="H15" s="79">
        <f t="shared" si="7"/>
        <v>4731.7544663812432</v>
      </c>
      <c r="I15" s="79">
        <f t="shared" si="7"/>
        <v>4550.5518479713473</v>
      </c>
      <c r="J15" s="79">
        <f t="shared" si="7"/>
        <v>4470.0901698595053</v>
      </c>
      <c r="K15" s="79">
        <f t="shared" si="7"/>
        <v>4288.4529545685027</v>
      </c>
      <c r="L15" s="84" t="s">
        <v>250</v>
      </c>
      <c r="O15"/>
    </row>
    <row r="16" spans="1:16" ht="29.4" thickBot="1" x14ac:dyDescent="0.35">
      <c r="A16" s="179" t="s">
        <v>197</v>
      </c>
      <c r="B16" s="81">
        <f t="shared" ref="B16:K16" si="8">B12-B15</f>
        <v>2809902.4895296632</v>
      </c>
      <c r="C16" s="81">
        <f t="shared" si="8"/>
        <v>2792687.3612505267</v>
      </c>
      <c r="D16" s="81">
        <f t="shared" si="8"/>
        <v>2721959.3357397346</v>
      </c>
      <c r="E16" s="81">
        <f t="shared" si="8"/>
        <v>2650542.957711346</v>
      </c>
      <c r="F16" s="81">
        <f t="shared" si="8"/>
        <v>2574500.2540531629</v>
      </c>
      <c r="G16" s="81">
        <f t="shared" si="8"/>
        <v>2547875.7318429234</v>
      </c>
      <c r="H16" s="81">
        <f t="shared" si="8"/>
        <v>2455270.1981076756</v>
      </c>
      <c r="I16" s="81">
        <f t="shared" si="8"/>
        <v>2386458.5759951253</v>
      </c>
      <c r="J16" s="81">
        <f t="shared" si="8"/>
        <v>2369292.9679557295</v>
      </c>
      <c r="K16" s="81">
        <f t="shared" si="8"/>
        <v>2297289.2904171865</v>
      </c>
      <c r="L16" s="88" t="s">
        <v>265</v>
      </c>
      <c r="N16" s="58"/>
    </row>
    <row r="17" spans="1:15" x14ac:dyDescent="0.3">
      <c r="A17" s="82"/>
      <c r="B17" s="82"/>
      <c r="C17" s="82"/>
      <c r="D17" s="82"/>
      <c r="E17" s="82"/>
      <c r="F17" s="82"/>
      <c r="G17" s="82"/>
      <c r="H17" s="82"/>
      <c r="I17" s="82"/>
      <c r="J17" s="82"/>
      <c r="K17" s="82"/>
      <c r="N17" s="58"/>
    </row>
    <row r="18" spans="1:15" ht="15.6" x14ac:dyDescent="0.3">
      <c r="A18" s="82"/>
      <c r="B18" s="82"/>
      <c r="C18" s="82"/>
      <c r="D18" s="82"/>
      <c r="E18" s="82"/>
      <c r="F18" s="82"/>
      <c r="G18" s="82"/>
      <c r="H18" s="82"/>
      <c r="I18" s="82"/>
      <c r="J18" s="82"/>
      <c r="K18" s="82"/>
      <c r="O18" s="4"/>
    </row>
  </sheetData>
  <mergeCells count="3">
    <mergeCell ref="B1:L1"/>
    <mergeCell ref="N1:O1"/>
    <mergeCell ref="B13:J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heetViews>
  <sheetFormatPr defaultRowHeight="14.4" x14ac:dyDescent="0.3"/>
  <cols>
    <col min="1" max="1" width="37.6640625" customWidth="1"/>
    <col min="2" max="11" width="11.44140625" customWidth="1"/>
    <col min="12" max="12" width="49.33203125" customWidth="1"/>
    <col min="15" max="15" width="39.88671875" bestFit="1" customWidth="1"/>
  </cols>
  <sheetData>
    <row r="1" spans="1:15" s="58" customFormat="1" x14ac:dyDescent="0.3">
      <c r="A1" s="97" t="s">
        <v>13</v>
      </c>
      <c r="B1" s="199" t="s">
        <v>173</v>
      </c>
      <c r="C1" s="200"/>
      <c r="D1" s="200"/>
      <c r="E1" s="200"/>
      <c r="F1" s="200"/>
      <c r="G1" s="200"/>
      <c r="H1" s="200"/>
      <c r="I1" s="200"/>
      <c r="J1" s="200"/>
      <c r="K1" s="200"/>
      <c r="L1" s="201"/>
      <c r="N1" s="202" t="s">
        <v>193</v>
      </c>
      <c r="O1" s="203"/>
    </row>
    <row r="2" spans="1:15" s="58" customFormat="1" x14ac:dyDescent="0.3">
      <c r="A2" s="98" t="s">
        <v>152</v>
      </c>
      <c r="B2" s="115">
        <v>2021</v>
      </c>
      <c r="C2" s="115">
        <v>2022</v>
      </c>
      <c r="D2" s="115">
        <v>2023</v>
      </c>
      <c r="E2" s="115">
        <v>2024</v>
      </c>
      <c r="F2" s="115">
        <v>2025</v>
      </c>
      <c r="G2" s="115">
        <v>2026</v>
      </c>
      <c r="H2" s="115">
        <v>2027</v>
      </c>
      <c r="I2" s="115">
        <v>2028</v>
      </c>
      <c r="J2" s="115">
        <v>2029</v>
      </c>
      <c r="K2" s="114">
        <v>2030</v>
      </c>
      <c r="L2" s="87" t="s">
        <v>174</v>
      </c>
      <c r="N2" s="59">
        <v>0.43540000000000001</v>
      </c>
      <c r="O2" s="59" t="s">
        <v>248</v>
      </c>
    </row>
    <row r="3" spans="1:15" s="58" customFormat="1" ht="72.599999999999994" x14ac:dyDescent="0.35">
      <c r="A3" s="99" t="s">
        <v>166</v>
      </c>
      <c r="B3" s="61">
        <v>349864.36861659709</v>
      </c>
      <c r="C3" s="61">
        <v>349156.37031424325</v>
      </c>
      <c r="D3" s="61">
        <v>348227.67808764958</v>
      </c>
      <c r="E3" s="61">
        <v>347291.16</v>
      </c>
      <c r="F3" s="61">
        <v>346496.21600000001</v>
      </c>
      <c r="G3" s="61">
        <v>345601.90399999998</v>
      </c>
      <c r="H3" s="65">
        <f>AVERAGE(E3:G3)*(1+$N$8)</f>
        <v>347882.95849002805</v>
      </c>
      <c r="I3" s="65">
        <f t="shared" ref="I3:K4" si="0">H3*(1+$N$8)</f>
        <v>349308.64249756717</v>
      </c>
      <c r="J3" s="65">
        <f t="shared" si="0"/>
        <v>350740.16920259903</v>
      </c>
      <c r="K3" s="65">
        <f t="shared" si="0"/>
        <v>352177.56254949974</v>
      </c>
      <c r="L3" s="84" t="s">
        <v>254</v>
      </c>
      <c r="N3" s="62">
        <v>0.91839999999999999</v>
      </c>
      <c r="O3" s="8" t="s">
        <v>199</v>
      </c>
    </row>
    <row r="4" spans="1:15" s="58" customFormat="1" ht="57.6" x14ac:dyDescent="0.3">
      <c r="A4" s="99" t="s">
        <v>167</v>
      </c>
      <c r="B4" s="61">
        <f>SUMIFS('Form 1.1c'!J:J, 'Form 1.1c'!$B:$B, "City of Alameda")*1000</f>
        <v>359000</v>
      </c>
      <c r="C4" s="61">
        <f>SUMIFS('Form 1.1c'!K:K, 'Form 1.1c'!$B:$B, "City of Alameda")*1000</f>
        <v>362000</v>
      </c>
      <c r="D4" s="61">
        <f>SUMIFS('Form 1.1c'!L:L, 'Form 1.1c'!$B:$B, "City of Alameda")*1000</f>
        <v>365000</v>
      </c>
      <c r="E4" s="61">
        <f>SUMIFS('Form 1.1c'!M:M, 'Form 1.1c'!$B:$B, "City of Alameda")*1000</f>
        <v>366000</v>
      </c>
      <c r="F4" s="61">
        <f>SUMIFS('Form 1.1c'!N:N, 'Form 1.1c'!$B:$B, "City of Alameda")*1000</f>
        <v>368000</v>
      </c>
      <c r="G4" s="61">
        <f>SUMIFS('Form 1.1c'!O:O, 'Form 1.1c'!$B:$B, "City of Alameda")*1000</f>
        <v>369000</v>
      </c>
      <c r="H4" s="65">
        <f>AVERAGE(E4:G4)*(1+$N$8)</f>
        <v>369173.42770217999</v>
      </c>
      <c r="I4" s="61">
        <f t="shared" si="0"/>
        <v>370686.36370274721</v>
      </c>
      <c r="J4" s="61">
        <f t="shared" si="0"/>
        <v>372205.49997443374</v>
      </c>
      <c r="K4" s="61">
        <f t="shared" si="0"/>
        <v>373730.86192701373</v>
      </c>
      <c r="L4" s="84" t="s">
        <v>211</v>
      </c>
      <c r="N4" s="68">
        <f>0.15</f>
        <v>0.15</v>
      </c>
      <c r="O4" s="59" t="s">
        <v>165</v>
      </c>
    </row>
    <row r="5" spans="1:15" s="58" customFormat="1" ht="28.8" x14ac:dyDescent="0.3">
      <c r="A5" s="99" t="s">
        <v>191</v>
      </c>
      <c r="B5" s="61">
        <f>IF(0&lt;(B3-B4)/B3,B4,B3*(1-$N$5))</f>
        <v>325373.86281343526</v>
      </c>
      <c r="C5" s="61">
        <f t="shared" ref="C5:K5" si="1">IF(0&lt;(C3-C4)/C3,C4,C3*(1-$N$5))</f>
        <v>324715.42439224618</v>
      </c>
      <c r="D5" s="61">
        <f t="shared" si="1"/>
        <v>323851.74062151409</v>
      </c>
      <c r="E5" s="61">
        <f t="shared" si="1"/>
        <v>322980.77879999997</v>
      </c>
      <c r="F5" s="61">
        <f t="shared" si="1"/>
        <v>322241.48087999999</v>
      </c>
      <c r="G5" s="61">
        <f t="shared" si="1"/>
        <v>321409.77071999997</v>
      </c>
      <c r="H5" s="61">
        <f t="shared" si="1"/>
        <v>323531.15139572608</v>
      </c>
      <c r="I5" s="61">
        <f t="shared" si="1"/>
        <v>324857.03752273746</v>
      </c>
      <c r="J5" s="61">
        <f t="shared" si="1"/>
        <v>326188.35735841707</v>
      </c>
      <c r="K5" s="61">
        <f t="shared" si="1"/>
        <v>327525.13317103474</v>
      </c>
      <c r="L5" s="84" t="s">
        <v>271</v>
      </c>
      <c r="N5" s="68">
        <f>0.07</f>
        <v>7.0000000000000007E-2</v>
      </c>
      <c r="O5" s="84" t="s">
        <v>275</v>
      </c>
    </row>
    <row r="6" spans="1:15" s="58" customFormat="1" x14ac:dyDescent="0.3">
      <c r="A6" s="99" t="s">
        <v>168</v>
      </c>
      <c r="B6" s="61">
        <v>0</v>
      </c>
      <c r="C6" s="61">
        <v>0</v>
      </c>
      <c r="D6" s="61">
        <v>0</v>
      </c>
      <c r="E6" s="61">
        <v>0</v>
      </c>
      <c r="F6" s="61">
        <v>0</v>
      </c>
      <c r="G6" s="61">
        <v>0</v>
      </c>
      <c r="H6" s="61">
        <v>0</v>
      </c>
      <c r="I6" s="61">
        <v>0</v>
      </c>
      <c r="J6" s="61">
        <v>0</v>
      </c>
      <c r="K6" s="61">
        <v>0</v>
      </c>
      <c r="L6" s="112" t="s">
        <v>247</v>
      </c>
      <c r="N6" s="63">
        <v>0.05</v>
      </c>
      <c r="O6" s="59" t="s">
        <v>246</v>
      </c>
    </row>
    <row r="7" spans="1:15" s="58" customFormat="1" x14ac:dyDescent="0.3">
      <c r="A7" s="99" t="s">
        <v>169</v>
      </c>
      <c r="B7" s="61">
        <v>0</v>
      </c>
      <c r="C7" s="61">
        <v>0</v>
      </c>
      <c r="D7" s="61">
        <v>0</v>
      </c>
      <c r="E7" s="61">
        <v>0</v>
      </c>
      <c r="F7" s="61">
        <v>0</v>
      </c>
      <c r="G7" s="61">
        <v>0</v>
      </c>
      <c r="H7" s="61">
        <v>0</v>
      </c>
      <c r="I7" s="61">
        <v>0</v>
      </c>
      <c r="J7" s="61">
        <v>0</v>
      </c>
      <c r="K7" s="61">
        <v>0</v>
      </c>
      <c r="L7" s="112" t="s">
        <v>245</v>
      </c>
    </row>
    <row r="8" spans="1:15" s="58" customFormat="1" ht="43.2" x14ac:dyDescent="0.3">
      <c r="A8" s="99" t="s">
        <v>170</v>
      </c>
      <c r="B8" s="61">
        <v>69051.999999999985</v>
      </c>
      <c r="C8" s="61">
        <v>69509.999999999985</v>
      </c>
      <c r="D8" s="61">
        <v>69507</v>
      </c>
      <c r="E8" s="61">
        <v>69554</v>
      </c>
      <c r="F8" s="61">
        <v>69676</v>
      </c>
      <c r="G8" s="61">
        <v>69606</v>
      </c>
      <c r="H8" s="65">
        <f>AVERAGE(E8:G8)</f>
        <v>69612</v>
      </c>
      <c r="I8" s="65">
        <f t="shared" ref="I8:K8" si="2">H8</f>
        <v>69612</v>
      </c>
      <c r="J8" s="65">
        <f t="shared" si="2"/>
        <v>69612</v>
      </c>
      <c r="K8" s="65">
        <f t="shared" si="2"/>
        <v>69612</v>
      </c>
      <c r="L8" s="84" t="s">
        <v>244</v>
      </c>
      <c r="N8" s="64">
        <v>4.0981714474523923E-3</v>
      </c>
      <c r="O8" s="84" t="s">
        <v>202</v>
      </c>
    </row>
    <row r="9" spans="1:15"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5" s="58" customFormat="1" ht="15.6" x14ac:dyDescent="0.3">
      <c r="A10" s="99" t="s">
        <v>171</v>
      </c>
      <c r="B10" s="61">
        <f>B5*B9</f>
        <v>97612.158844030579</v>
      </c>
      <c r="C10" s="61">
        <f t="shared" ref="C10:K10" si="3">C5*C9</f>
        <v>100661.78156159632</v>
      </c>
      <c r="D10" s="61">
        <f t="shared" si="3"/>
        <v>106871.07440509966</v>
      </c>
      <c r="E10" s="61">
        <f t="shared" si="3"/>
        <v>113043.27257999999</v>
      </c>
      <c r="F10" s="61">
        <f t="shared" si="3"/>
        <v>119229.3479256</v>
      </c>
      <c r="G10" s="61">
        <f t="shared" si="3"/>
        <v>122135.71287359999</v>
      </c>
      <c r="H10" s="61">
        <f t="shared" si="3"/>
        <v>129412.46055829043</v>
      </c>
      <c r="I10" s="61">
        <f t="shared" si="3"/>
        <v>136439.95575954972</v>
      </c>
      <c r="J10" s="61">
        <f t="shared" si="3"/>
        <v>140260.99366411933</v>
      </c>
      <c r="K10" s="61">
        <f t="shared" si="3"/>
        <v>147386.30992696565</v>
      </c>
      <c r="L10" s="84" t="s">
        <v>376</v>
      </c>
      <c r="N10" s="122"/>
      <c r="O10" s="60"/>
    </row>
    <row r="11" spans="1:15" s="58" customFormat="1" ht="28.8" x14ac:dyDescent="0.3">
      <c r="A11" s="99" t="s">
        <v>172</v>
      </c>
      <c r="B11" s="61">
        <f t="shared" ref="B11:K11" si="4">MAX(B3-SUM(B6:B8,B10), B3*$N$6)</f>
        <v>183200.20977256651</v>
      </c>
      <c r="C11" s="61">
        <f t="shared" si="4"/>
        <v>178984.58875264693</v>
      </c>
      <c r="D11" s="61">
        <f t="shared" si="4"/>
        <v>171849.6036825499</v>
      </c>
      <c r="E11" s="61">
        <f t="shared" si="4"/>
        <v>164693.88741999998</v>
      </c>
      <c r="F11" s="61">
        <f t="shared" si="4"/>
        <v>157590.8680744</v>
      </c>
      <c r="G11" s="61">
        <f t="shared" si="4"/>
        <v>153860.19112639999</v>
      </c>
      <c r="H11" s="61">
        <f t="shared" si="4"/>
        <v>148858.49793173763</v>
      </c>
      <c r="I11" s="61">
        <f t="shared" si="4"/>
        <v>143256.68673801745</v>
      </c>
      <c r="J11" s="61">
        <f t="shared" si="4"/>
        <v>140867.1755384797</v>
      </c>
      <c r="K11" s="61">
        <f t="shared" si="4"/>
        <v>135179.25262253408</v>
      </c>
      <c r="L11" s="84" t="s">
        <v>203</v>
      </c>
    </row>
    <row r="12" spans="1:15" s="58" customFormat="1" ht="43.8" x14ac:dyDescent="0.35">
      <c r="A12" s="99" t="s">
        <v>194</v>
      </c>
      <c r="B12" s="61">
        <f t="shared" ref="B12:K12" si="5">B6*$N$3+B11*$N$2</f>
        <v>79765.371334975454</v>
      </c>
      <c r="C12" s="61">
        <f t="shared" si="5"/>
        <v>77929.889942902475</v>
      </c>
      <c r="D12" s="61">
        <f t="shared" si="5"/>
        <v>74823.317443382228</v>
      </c>
      <c r="E12" s="61">
        <f t="shared" si="5"/>
        <v>71707.718582667992</v>
      </c>
      <c r="F12" s="61">
        <f t="shared" si="5"/>
        <v>68615.063959593768</v>
      </c>
      <c r="G12" s="61">
        <f t="shared" si="5"/>
        <v>66990.727216434563</v>
      </c>
      <c r="H12" s="61">
        <f t="shared" si="5"/>
        <v>64812.989999478566</v>
      </c>
      <c r="I12" s="61">
        <f t="shared" si="5"/>
        <v>62373.9614057328</v>
      </c>
      <c r="J12" s="61">
        <f t="shared" si="5"/>
        <v>61333.56822945406</v>
      </c>
      <c r="K12" s="61">
        <f t="shared" si="5"/>
        <v>58857.046591851344</v>
      </c>
      <c r="L12" s="102" t="s">
        <v>204</v>
      </c>
    </row>
    <row r="13" spans="1:15" s="58" customFormat="1" ht="72" x14ac:dyDescent="0.3">
      <c r="A13" s="99"/>
      <c r="B13" s="204" t="s">
        <v>205</v>
      </c>
      <c r="C13" s="205"/>
      <c r="D13" s="205"/>
      <c r="E13" s="205"/>
      <c r="F13" s="205"/>
      <c r="G13" s="205"/>
      <c r="H13" s="205"/>
      <c r="I13" s="205"/>
      <c r="J13" s="206"/>
      <c r="K13" s="83">
        <v>0</v>
      </c>
      <c r="L13" s="102" t="s">
        <v>368</v>
      </c>
    </row>
    <row r="14" spans="1:15" s="58" customFormat="1" ht="30" x14ac:dyDescent="0.35">
      <c r="A14" s="99" t="s">
        <v>195</v>
      </c>
      <c r="B14" s="80">
        <f t="shared" ref="B14:K14" si="6">B12/B3</f>
        <v>0.22798941101197778</v>
      </c>
      <c r="C14" s="80">
        <f t="shared" si="6"/>
        <v>0.22319481060238142</v>
      </c>
      <c r="D14" s="80">
        <f t="shared" si="6"/>
        <v>0.21486895543251175</v>
      </c>
      <c r="E14" s="80">
        <f t="shared" si="6"/>
        <v>0.20647723536259316</v>
      </c>
      <c r="F14" s="80">
        <f t="shared" si="6"/>
        <v>0.19802543517414276</v>
      </c>
      <c r="G14" s="80">
        <f t="shared" si="6"/>
        <v>0.19383784186685085</v>
      </c>
      <c r="H14" s="80">
        <f t="shared" si="6"/>
        <v>0.18630688401868473</v>
      </c>
      <c r="I14" s="80">
        <f t="shared" si="6"/>
        <v>0.17856403712131805</v>
      </c>
      <c r="J14" s="80">
        <f t="shared" si="6"/>
        <v>0.17486895889026552</v>
      </c>
      <c r="K14" s="80">
        <f t="shared" si="6"/>
        <v>0.1671232152490657</v>
      </c>
      <c r="L14" s="84" t="s">
        <v>206</v>
      </c>
    </row>
    <row r="15" spans="1:15"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207</v>
      </c>
    </row>
    <row r="16" spans="1:15" ht="29.4" thickBot="1" x14ac:dyDescent="0.35">
      <c r="A16" s="179" t="s">
        <v>197</v>
      </c>
      <c r="B16" s="81">
        <f t="shared" ref="B16:K16" si="8">B12-B15</f>
        <v>79765.371334975454</v>
      </c>
      <c r="C16" s="81">
        <f t="shared" si="8"/>
        <v>77929.889942902475</v>
      </c>
      <c r="D16" s="81">
        <f t="shared" si="8"/>
        <v>74823.317443382228</v>
      </c>
      <c r="E16" s="81">
        <f t="shared" si="8"/>
        <v>71707.718582667992</v>
      </c>
      <c r="F16" s="81">
        <f t="shared" si="8"/>
        <v>68615.063959593768</v>
      </c>
      <c r="G16" s="81">
        <f t="shared" si="8"/>
        <v>66990.727216434563</v>
      </c>
      <c r="H16" s="81">
        <f t="shared" si="8"/>
        <v>64812.989999478566</v>
      </c>
      <c r="I16" s="81">
        <f t="shared" si="8"/>
        <v>62373.9614057328</v>
      </c>
      <c r="J16" s="81">
        <f t="shared" si="8"/>
        <v>61333.56822945406</v>
      </c>
      <c r="K16" s="81">
        <f t="shared" si="8"/>
        <v>58857.046591851344</v>
      </c>
      <c r="L16" s="88" t="s">
        <v>265</v>
      </c>
      <c r="M16" s="58"/>
      <c r="O16" s="3"/>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124"/>
      <c r="J18" s="82"/>
      <c r="K18" s="82"/>
      <c r="O18" s="3"/>
    </row>
  </sheetData>
  <mergeCells count="3">
    <mergeCell ref="B1:L1"/>
    <mergeCell ref="N1:O1"/>
    <mergeCell ref="B13:J13"/>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5.88671875" customWidth="1"/>
    <col min="2" max="11" width="11.44140625" customWidth="1"/>
    <col min="12" max="12" width="49.33203125" customWidth="1"/>
    <col min="14" max="14" width="8.6640625" customWidth="1"/>
    <col min="15" max="15" width="34.109375" customWidth="1"/>
    <col min="17" max="17" width="14.33203125" customWidth="1"/>
  </cols>
  <sheetData>
    <row r="1" spans="1:18" s="58" customFormat="1" ht="15.6" x14ac:dyDescent="0.3">
      <c r="A1" s="97" t="s">
        <v>188</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1.5a'!$A:$A, "SDG&amp;E Service Area*")*1000</f>
        <v>21674000</v>
      </c>
      <c r="C3" s="61">
        <f>SUMIFS('Form 1.5a'!K:K, 'Form 1.5a'!$A:$A, "SDG&amp;E Service Area*")*1000</f>
        <v>21866000</v>
      </c>
      <c r="D3" s="61">
        <f>SUMIFS('Form 1.5a'!L:L, 'Form 1.5a'!$A:$A, "SDG&amp;E Service Area*")*1000</f>
        <v>21956000</v>
      </c>
      <c r="E3" s="61">
        <f>SUMIFS('Form 1.5a'!M:M, 'Form 1.5a'!$A:$A, "SDG&amp;E Service Area*")*1000</f>
        <v>22049000</v>
      </c>
      <c r="F3" s="61">
        <f>SUMIFS('Form 1.5a'!N:N, 'Form 1.5a'!$A:$A, "SDG&amp;E Service Area*")*1000</f>
        <v>22132000</v>
      </c>
      <c r="G3" s="61">
        <f>SUMIFS('Form 1.5a'!O:O, 'Form 1.5a'!$A:$A, "SDG&amp;E Service Area*")*1000</f>
        <v>22202000</v>
      </c>
      <c r="H3" s="65">
        <f>AVERAGE(E3:G3)*(1+$N$8)</f>
        <v>22183383.826656554</v>
      </c>
      <c r="I3" s="65">
        <f t="shared" ref="I3:K4" si="0">H3*(1+$N$8)</f>
        <v>22239241.281688124</v>
      </c>
      <c r="J3" s="65">
        <f t="shared" si="0"/>
        <v>22295239.385022361</v>
      </c>
      <c r="K3" s="65">
        <f t="shared" si="0"/>
        <v>22351378.490809754</v>
      </c>
      <c r="L3" s="84" t="s">
        <v>209</v>
      </c>
      <c r="N3" s="62">
        <v>0.91839999999999999</v>
      </c>
      <c r="O3" s="8" t="s">
        <v>199</v>
      </c>
    </row>
    <row r="4" spans="1:18" s="58" customFormat="1" ht="57.6" x14ac:dyDescent="0.3">
      <c r="A4" s="99" t="s">
        <v>167</v>
      </c>
      <c r="B4" s="61">
        <f>SUMIFS('Form 1.1c'!J:J, 'Form 1.1c'!$B:$B, "San Diego Gas and Electric*")*1000</f>
        <v>20249000</v>
      </c>
      <c r="C4" s="61">
        <f>SUMIFS('Form 1.1c'!K:K, 'Form 1.1c'!$B:$B, "San Diego Gas and Electric*")*1000</f>
        <v>20430000</v>
      </c>
      <c r="D4" s="61">
        <f>SUMIFS('Form 1.1c'!L:L, 'Form 1.1c'!$B:$B, "San Diego Gas and Electric*")*1000</f>
        <v>20516000</v>
      </c>
      <c r="E4" s="61">
        <f>SUMIFS('Form 1.1c'!M:M, 'Form 1.1c'!$B:$B, "San Diego Gas and Electric*")*1000</f>
        <v>20604000</v>
      </c>
      <c r="F4" s="61">
        <f>SUMIFS('Form 1.1c'!N:N, 'Form 1.1c'!$B:$B, "San Diego Gas and Electric*")*1000</f>
        <v>20683000</v>
      </c>
      <c r="G4" s="61">
        <f>SUMIFS('Form 1.1c'!O:O, 'Form 1.1c'!$B:$B, "San Diego Gas and Electric*")*1000</f>
        <v>20751000</v>
      </c>
      <c r="H4" s="65">
        <f>AVERAGE(E4:G4)*(1+$N$8)</f>
        <v>20731403.60993205</v>
      </c>
      <c r="I4" s="61">
        <f t="shared" si="0"/>
        <v>20783604.998770285</v>
      </c>
      <c r="J4" s="61">
        <f t="shared" si="0"/>
        <v>20835937.829986852</v>
      </c>
      <c r="K4" s="61">
        <f t="shared" si="0"/>
        <v>20888402.43455185</v>
      </c>
      <c r="L4" s="84" t="s">
        <v>211</v>
      </c>
      <c r="N4" s="68">
        <f>0.15</f>
        <v>0.15</v>
      </c>
      <c r="O4" s="84" t="s">
        <v>165</v>
      </c>
    </row>
    <row r="5" spans="1:18" s="58" customFormat="1" ht="28.8" x14ac:dyDescent="0.3">
      <c r="A5" s="99" t="s">
        <v>191</v>
      </c>
      <c r="B5" s="61">
        <f>IF(0&lt;(B3-B4)/B3,B4,B3*(1-$N$5))</f>
        <v>20249000</v>
      </c>
      <c r="C5" s="61">
        <f t="shared" ref="C5:K5" si="1">IF(0&lt;(C3-C4)/C3,C4,C3*(1-$N$5))</f>
        <v>20430000</v>
      </c>
      <c r="D5" s="61">
        <f t="shared" si="1"/>
        <v>20516000</v>
      </c>
      <c r="E5" s="61">
        <f t="shared" si="1"/>
        <v>20604000</v>
      </c>
      <c r="F5" s="61">
        <f t="shared" si="1"/>
        <v>20683000</v>
      </c>
      <c r="G5" s="61">
        <f t="shared" si="1"/>
        <v>20751000</v>
      </c>
      <c r="H5" s="61">
        <f t="shared" si="1"/>
        <v>20731403.60993205</v>
      </c>
      <c r="I5" s="61">
        <f t="shared" si="1"/>
        <v>20783604.998770285</v>
      </c>
      <c r="J5" s="61">
        <f t="shared" si="1"/>
        <v>20835937.829986852</v>
      </c>
      <c r="K5" s="61">
        <f t="shared" si="1"/>
        <v>20888402.43455185</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1" t="s">
        <v>223</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1" t="s">
        <v>224</v>
      </c>
      <c r="O7" s="101"/>
    </row>
    <row r="8" spans="1:18" s="58" customFormat="1" ht="28.8" x14ac:dyDescent="0.3">
      <c r="A8" s="99" t="s">
        <v>170</v>
      </c>
      <c r="B8" s="61">
        <v>43440</v>
      </c>
      <c r="C8" s="61">
        <v>43400.000000000007</v>
      </c>
      <c r="D8" s="61">
        <v>42600</v>
      </c>
      <c r="E8" s="61">
        <v>41800</v>
      </c>
      <c r="F8" s="61">
        <f>AVERAGE(C8:E8)</f>
        <v>42600</v>
      </c>
      <c r="G8" s="61">
        <f>F8</f>
        <v>42600</v>
      </c>
      <c r="H8" s="61">
        <f t="shared" ref="H8:K8" si="2">G8</f>
        <v>42600</v>
      </c>
      <c r="I8" s="61">
        <f t="shared" si="2"/>
        <v>42600</v>
      </c>
      <c r="J8" s="61">
        <f t="shared" si="2"/>
        <v>42600</v>
      </c>
      <c r="K8" s="61">
        <f t="shared" si="2"/>
        <v>42600</v>
      </c>
      <c r="L8" s="84" t="s">
        <v>230</v>
      </c>
      <c r="N8" s="64">
        <v>2.5179862309576695E-3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x14ac:dyDescent="0.3">
      <c r="A10" s="99" t="s">
        <v>171</v>
      </c>
      <c r="B10" s="61">
        <f>B5*B9</f>
        <v>6074700</v>
      </c>
      <c r="C10" s="61">
        <f t="shared" ref="C10:K10" si="3">C5*C9</f>
        <v>6333300</v>
      </c>
      <c r="D10" s="61">
        <f t="shared" si="3"/>
        <v>6770280</v>
      </c>
      <c r="E10" s="61">
        <f t="shared" si="3"/>
        <v>7211400</v>
      </c>
      <c r="F10" s="61">
        <f t="shared" si="3"/>
        <v>7652710</v>
      </c>
      <c r="G10" s="61">
        <f t="shared" si="3"/>
        <v>7885380</v>
      </c>
      <c r="H10" s="61">
        <f t="shared" si="3"/>
        <v>8292561.4439728204</v>
      </c>
      <c r="I10" s="61">
        <f t="shared" si="3"/>
        <v>8729114.0994835198</v>
      </c>
      <c r="J10" s="61">
        <f t="shared" si="3"/>
        <v>8959453.2668943461</v>
      </c>
      <c r="K10" s="61">
        <f t="shared" si="3"/>
        <v>9399781.0955483336</v>
      </c>
      <c r="L10" s="84" t="s">
        <v>376</v>
      </c>
      <c r="N10" s="123"/>
    </row>
    <row r="11" spans="1:18" s="58" customFormat="1" ht="28.8" x14ac:dyDescent="0.3">
      <c r="A11" s="99" t="s">
        <v>172</v>
      </c>
      <c r="B11" s="61">
        <f t="shared" ref="B11:K11" si="4">MAX(B3-SUM(B6:B8,B10), B3*$N$6)</f>
        <v>15555860</v>
      </c>
      <c r="C11" s="61">
        <f t="shared" si="4"/>
        <v>15489300</v>
      </c>
      <c r="D11" s="61">
        <f t="shared" si="4"/>
        <v>15143120</v>
      </c>
      <c r="E11" s="61">
        <f t="shared" si="4"/>
        <v>14795800</v>
      </c>
      <c r="F11" s="61">
        <f t="shared" si="4"/>
        <v>14436690</v>
      </c>
      <c r="G11" s="61">
        <f t="shared" si="4"/>
        <v>14274020</v>
      </c>
      <c r="H11" s="61">
        <f t="shared" si="4"/>
        <v>13848222.382683733</v>
      </c>
      <c r="I11" s="61">
        <f t="shared" si="4"/>
        <v>13467527.182204604</v>
      </c>
      <c r="J11" s="61">
        <f t="shared" si="4"/>
        <v>13293186.118128015</v>
      </c>
      <c r="K11" s="61">
        <f t="shared" si="4"/>
        <v>12908997.39526142</v>
      </c>
      <c r="L11" s="84" t="s">
        <v>203</v>
      </c>
    </row>
    <row r="12" spans="1:18" s="58" customFormat="1" ht="43.8" x14ac:dyDescent="0.35">
      <c r="A12" s="99" t="s">
        <v>194</v>
      </c>
      <c r="B12" s="61">
        <f t="shared" ref="B12:K12" si="5">B6*$N$3+B11*$N$2</f>
        <v>6773021.4440000001</v>
      </c>
      <c r="C12" s="61">
        <f t="shared" si="5"/>
        <v>6744041.2199999997</v>
      </c>
      <c r="D12" s="61">
        <f t="shared" si="5"/>
        <v>6593314.4479999999</v>
      </c>
      <c r="E12" s="61">
        <f t="shared" si="5"/>
        <v>6442091.3200000003</v>
      </c>
      <c r="F12" s="61">
        <f t="shared" si="5"/>
        <v>6285734.8260000004</v>
      </c>
      <c r="G12" s="61">
        <f t="shared" si="5"/>
        <v>6214908.3080000002</v>
      </c>
      <c r="H12" s="61">
        <f t="shared" si="5"/>
        <v>6029516.0254204981</v>
      </c>
      <c r="I12" s="61">
        <f t="shared" si="5"/>
        <v>5863761.3351318846</v>
      </c>
      <c r="J12" s="61">
        <f t="shared" si="5"/>
        <v>5787853.235832938</v>
      </c>
      <c r="K12" s="61">
        <f t="shared" si="5"/>
        <v>5620577.4658968225</v>
      </c>
      <c r="L12" s="102" t="s">
        <v>204</v>
      </c>
    </row>
    <row r="13" spans="1:18" s="58" customFormat="1" ht="72" x14ac:dyDescent="0.3">
      <c r="A13" s="99"/>
      <c r="B13" s="204" t="s">
        <v>205</v>
      </c>
      <c r="C13" s="205"/>
      <c r="D13" s="205"/>
      <c r="E13" s="205"/>
      <c r="F13" s="205"/>
      <c r="G13" s="205"/>
      <c r="H13" s="205"/>
      <c r="I13" s="205"/>
      <c r="J13" s="206"/>
      <c r="K13" s="177">
        <v>21999.666666666664</v>
      </c>
      <c r="L13" s="102" t="s">
        <v>368</v>
      </c>
    </row>
    <row r="14" spans="1:18" s="58" customFormat="1" ht="30" x14ac:dyDescent="0.35">
      <c r="A14" s="99" t="s">
        <v>195</v>
      </c>
      <c r="B14" s="80">
        <f t="shared" ref="B14:K14" si="6">B12/B3</f>
        <v>0.31249522210943986</v>
      </c>
      <c r="C14" s="80">
        <f t="shared" si="6"/>
        <v>0.30842592243665962</v>
      </c>
      <c r="D14" s="80">
        <f t="shared" si="6"/>
        <v>0.30029670468209146</v>
      </c>
      <c r="E14" s="80">
        <f t="shared" si="6"/>
        <v>0.29217158692004175</v>
      </c>
      <c r="F14" s="80">
        <f t="shared" si="6"/>
        <v>0.28401115244894271</v>
      </c>
      <c r="G14" s="80">
        <f t="shared" si="6"/>
        <v>0.27992560616160705</v>
      </c>
      <c r="H14" s="80">
        <f t="shared" si="6"/>
        <v>0.2718032592563791</v>
      </c>
      <c r="I14" s="80">
        <f t="shared" si="6"/>
        <v>0.26366732843355262</v>
      </c>
      <c r="J14" s="80">
        <f t="shared" si="6"/>
        <v>0.25960040777678928</v>
      </c>
      <c r="K14" s="80">
        <f t="shared" si="6"/>
        <v>0.25146446641793674</v>
      </c>
      <c r="L14" s="84" t="s">
        <v>206</v>
      </c>
    </row>
    <row r="15" spans="1:18" s="58" customFormat="1" ht="30.6" thickBot="1" x14ac:dyDescent="0.4">
      <c r="A15" s="99" t="s">
        <v>196</v>
      </c>
      <c r="B15" s="79">
        <f>$K$13*B14</f>
        <v>6874.7907213336393</v>
      </c>
      <c r="C15" s="79">
        <f t="shared" ref="C15:K15" si="7">$K$13*C14</f>
        <v>6785.2674849656987</v>
      </c>
      <c r="D15" s="79">
        <f t="shared" si="7"/>
        <v>6606.4274041044509</v>
      </c>
      <c r="E15" s="79">
        <f t="shared" si="7"/>
        <v>6427.6775217119448</v>
      </c>
      <c r="F15" s="79">
        <f t="shared" si="7"/>
        <v>6248.1506834925895</v>
      </c>
      <c r="G15" s="79">
        <f t="shared" si="7"/>
        <v>6158.2700270199675</v>
      </c>
      <c r="H15" s="79">
        <f t="shared" si="7"/>
        <v>5979.5811025539206</v>
      </c>
      <c r="I15" s="79">
        <f t="shared" si="7"/>
        <v>5800.5933364286793</v>
      </c>
      <c r="J15" s="79">
        <f t="shared" si="7"/>
        <v>5711.1224376201044</v>
      </c>
      <c r="K15" s="79">
        <f t="shared" si="7"/>
        <v>5532.1344397058019</v>
      </c>
      <c r="L15" s="84" t="s">
        <v>250</v>
      </c>
    </row>
    <row r="16" spans="1:18" ht="29.4" thickBot="1" x14ac:dyDescent="0.35">
      <c r="A16" s="179" t="s">
        <v>197</v>
      </c>
      <c r="B16" s="81">
        <f t="shared" ref="B16:K16" si="8">B12-B15</f>
        <v>6766146.6532786665</v>
      </c>
      <c r="C16" s="81">
        <f t="shared" si="8"/>
        <v>6737255.952515034</v>
      </c>
      <c r="D16" s="81">
        <f t="shared" si="8"/>
        <v>6586708.0205958951</v>
      </c>
      <c r="E16" s="81">
        <f t="shared" si="8"/>
        <v>6435663.6424782882</v>
      </c>
      <c r="F16" s="81">
        <f t="shared" si="8"/>
        <v>6279486.6753165079</v>
      </c>
      <c r="G16" s="81">
        <f t="shared" si="8"/>
        <v>6208750.0379729802</v>
      </c>
      <c r="H16" s="81">
        <f t="shared" si="8"/>
        <v>6023536.4443179443</v>
      </c>
      <c r="I16" s="81">
        <f t="shared" si="8"/>
        <v>5857960.741795456</v>
      </c>
      <c r="J16" s="81">
        <f t="shared" si="8"/>
        <v>5782142.1133953175</v>
      </c>
      <c r="K16" s="81">
        <f t="shared" si="8"/>
        <v>5615045.3314571166</v>
      </c>
      <c r="L16" s="88" t="s">
        <v>265</v>
      </c>
      <c r="P16" s="58"/>
      <c r="Q16" s="58"/>
      <c r="R16" s="58"/>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82"/>
      <c r="J18" s="82"/>
      <c r="K18" s="82"/>
      <c r="O18" s="4"/>
    </row>
  </sheetData>
  <mergeCells count="3">
    <mergeCell ref="B1:L1"/>
    <mergeCell ref="N1:O1"/>
    <mergeCell ref="B13:J13"/>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heetViews>
  <sheetFormatPr defaultRowHeight="14.4" x14ac:dyDescent="0.3"/>
  <cols>
    <col min="1" max="1" width="37.6640625" customWidth="1"/>
    <col min="2" max="11" width="11" customWidth="1"/>
    <col min="12" max="12" width="49.33203125" customWidth="1"/>
    <col min="14" max="14" width="8.6640625" customWidth="1"/>
    <col min="15" max="15" width="34.109375" customWidth="1"/>
  </cols>
  <sheetData>
    <row r="1" spans="1:16" s="58" customFormat="1" ht="28.8" x14ac:dyDescent="0.3">
      <c r="A1" s="97" t="s">
        <v>24</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60" x14ac:dyDescent="0.35">
      <c r="A3" s="99" t="s">
        <v>166</v>
      </c>
      <c r="B3" s="61">
        <v>3556723.95</v>
      </c>
      <c r="C3" s="65">
        <f t="shared" ref="C3:H4" si="0">B3*(1+$N$8)</f>
        <v>3571329.9566463521</v>
      </c>
      <c r="D3" s="65">
        <f t="shared" si="0"/>
        <v>3585995.9441720615</v>
      </c>
      <c r="E3" s="65">
        <f t="shared" si="0"/>
        <v>3600722.158894002</v>
      </c>
      <c r="F3" s="65">
        <f t="shared" si="0"/>
        <v>3615508.8481405689</v>
      </c>
      <c r="G3" s="65">
        <f t="shared" si="0"/>
        <v>3630356.2602558346</v>
      </c>
      <c r="H3" s="65">
        <f t="shared" si="0"/>
        <v>3645264.6446037181</v>
      </c>
      <c r="I3" s="65">
        <f t="shared" ref="I3:K4" si="1">H3*(1+$N$8)</f>
        <v>3660234.251572174</v>
      </c>
      <c r="J3" s="65">
        <f t="shared" si="1"/>
        <v>3675265.3325773976</v>
      </c>
      <c r="K3" s="65">
        <f t="shared" si="1"/>
        <v>3690358.1400680472</v>
      </c>
      <c r="L3" s="105" t="s">
        <v>261</v>
      </c>
      <c r="N3" s="62">
        <v>0.91839999999999999</v>
      </c>
      <c r="O3" s="8" t="s">
        <v>199</v>
      </c>
    </row>
    <row r="4" spans="1:16" s="58" customFormat="1" ht="57.6" x14ac:dyDescent="0.3">
      <c r="A4" s="99" t="s">
        <v>167</v>
      </c>
      <c r="B4" s="61">
        <v>3425801.8110000002</v>
      </c>
      <c r="C4" s="61">
        <f t="shared" si="0"/>
        <v>3439870.1741127884</v>
      </c>
      <c r="D4" s="61">
        <f t="shared" si="0"/>
        <v>3453996.3102234299</v>
      </c>
      <c r="E4" s="61">
        <f t="shared" si="0"/>
        <v>3468180.4565819344</v>
      </c>
      <c r="F4" s="61">
        <f t="shared" si="0"/>
        <v>3482422.8514125999</v>
      </c>
      <c r="G4" s="61">
        <f t="shared" si="0"/>
        <v>3496723.7339180135</v>
      </c>
      <c r="H4" s="61">
        <f t="shared" si="0"/>
        <v>3511083.3442830695</v>
      </c>
      <c r="I4" s="61">
        <f t="shared" si="1"/>
        <v>3525501.923679003</v>
      </c>
      <c r="J4" s="61">
        <f t="shared" si="1"/>
        <v>3539979.7142674411</v>
      </c>
      <c r="K4" s="61">
        <f t="shared" si="1"/>
        <v>3554516.9592044684</v>
      </c>
      <c r="L4" s="84" t="s">
        <v>253</v>
      </c>
      <c r="N4" s="68">
        <f>0.15</f>
        <v>0.15</v>
      </c>
      <c r="O4" s="84" t="s">
        <v>165</v>
      </c>
    </row>
    <row r="5" spans="1:16" s="58" customFormat="1" ht="28.8" x14ac:dyDescent="0.3">
      <c r="A5" s="99" t="s">
        <v>191</v>
      </c>
      <c r="B5" s="61">
        <f>IF(0&lt;(B3-B4)/B3,B4,B3*(1-$N$5))</f>
        <v>3425801.8110000002</v>
      </c>
      <c r="C5" s="61">
        <f t="shared" ref="C5:K5" si="2">IF(0&lt;(C3-C4)/C3,C4,C3*(1-$N$5))</f>
        <v>3439870.1741127884</v>
      </c>
      <c r="D5" s="61">
        <f t="shared" si="2"/>
        <v>3453996.3102234299</v>
      </c>
      <c r="E5" s="61">
        <f t="shared" si="2"/>
        <v>3468180.4565819344</v>
      </c>
      <c r="F5" s="61">
        <f t="shared" si="2"/>
        <v>3482422.8514125999</v>
      </c>
      <c r="G5" s="61">
        <f t="shared" si="2"/>
        <v>3496723.7339180135</v>
      </c>
      <c r="H5" s="61">
        <f t="shared" si="2"/>
        <v>3511083.3442830695</v>
      </c>
      <c r="I5" s="61">
        <f t="shared" si="2"/>
        <v>3525501.923679003</v>
      </c>
      <c r="J5" s="61">
        <f t="shared" si="2"/>
        <v>3539979.7142674411</v>
      </c>
      <c r="K5" s="61">
        <f t="shared" si="2"/>
        <v>3554516.9592044684</v>
      </c>
      <c r="L5" s="84" t="s">
        <v>271</v>
      </c>
      <c r="N5" s="68">
        <f>0.07</f>
        <v>7.0000000000000007E-2</v>
      </c>
      <c r="O5" s="84" t="s">
        <v>275</v>
      </c>
    </row>
    <row r="6" spans="1:16" s="58" customFormat="1" x14ac:dyDescent="0.3">
      <c r="A6" s="99" t="s">
        <v>168</v>
      </c>
      <c r="B6" s="61">
        <v>0</v>
      </c>
      <c r="C6" s="61">
        <v>0</v>
      </c>
      <c r="D6" s="61">
        <v>0</v>
      </c>
      <c r="E6" s="61">
        <v>0</v>
      </c>
      <c r="F6" s="61">
        <v>0</v>
      </c>
      <c r="G6" s="61">
        <v>0</v>
      </c>
      <c r="H6" s="61">
        <v>0</v>
      </c>
      <c r="I6" s="61">
        <v>0</v>
      </c>
      <c r="J6" s="61">
        <v>0</v>
      </c>
      <c r="K6" s="61">
        <v>0</v>
      </c>
      <c r="L6" s="111" t="s">
        <v>223</v>
      </c>
      <c r="N6" s="63">
        <v>0.05</v>
      </c>
      <c r="O6" s="84" t="s">
        <v>200</v>
      </c>
    </row>
    <row r="7" spans="1:16" s="58" customFormat="1" x14ac:dyDescent="0.3">
      <c r="A7" s="99" t="s">
        <v>169</v>
      </c>
      <c r="B7" s="61">
        <v>0</v>
      </c>
      <c r="C7" s="61">
        <v>0</v>
      </c>
      <c r="D7" s="61">
        <v>0</v>
      </c>
      <c r="E7" s="61">
        <v>0</v>
      </c>
      <c r="F7" s="61">
        <v>0</v>
      </c>
      <c r="G7" s="61">
        <v>0</v>
      </c>
      <c r="H7" s="61">
        <v>0</v>
      </c>
      <c r="I7" s="61">
        <v>0</v>
      </c>
      <c r="J7" s="61">
        <v>0</v>
      </c>
      <c r="K7" s="61">
        <v>0</v>
      </c>
      <c r="L7" s="111" t="s">
        <v>224</v>
      </c>
      <c r="O7" s="101"/>
    </row>
    <row r="8" spans="1:16" s="58" customFormat="1" ht="28.8" x14ac:dyDescent="0.3">
      <c r="A8" s="99" t="s">
        <v>170</v>
      </c>
      <c r="B8" s="65">
        <v>754601.40557885997</v>
      </c>
      <c r="C8" s="65">
        <v>754601.40557454992</v>
      </c>
      <c r="D8" s="65">
        <v>754601.40557669988</v>
      </c>
      <c r="E8" s="65">
        <v>754601.40557891014</v>
      </c>
      <c r="F8" s="61">
        <f>AVERAGE(C8:E8)</f>
        <v>754601.4055767199</v>
      </c>
      <c r="G8" s="61">
        <f>F8</f>
        <v>754601.4055767199</v>
      </c>
      <c r="H8" s="61">
        <f t="shared" ref="H8:K8" si="3">G8</f>
        <v>754601.4055767199</v>
      </c>
      <c r="I8" s="61">
        <f t="shared" si="3"/>
        <v>754601.4055767199</v>
      </c>
      <c r="J8" s="61">
        <f t="shared" si="3"/>
        <v>754601.4055767199</v>
      </c>
      <c r="K8" s="61">
        <f t="shared" si="3"/>
        <v>754601.4055767199</v>
      </c>
      <c r="L8" s="84" t="s">
        <v>230</v>
      </c>
      <c r="N8" s="64">
        <v>4.1065898989298688E-3</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1027740.5433</v>
      </c>
      <c r="C10" s="61">
        <f t="shared" ref="C10:K10" si="4">C5*C9</f>
        <v>1066359.7539749644</v>
      </c>
      <c r="D10" s="61">
        <f t="shared" si="4"/>
        <v>1139818.782373732</v>
      </c>
      <c r="E10" s="61">
        <f t="shared" si="4"/>
        <v>1213863.1598036769</v>
      </c>
      <c r="F10" s="61">
        <f t="shared" si="4"/>
        <v>1288496.4550226619</v>
      </c>
      <c r="G10" s="61">
        <f t="shared" si="4"/>
        <v>1328755.0188888451</v>
      </c>
      <c r="H10" s="61">
        <f t="shared" si="4"/>
        <v>1404433.3377132278</v>
      </c>
      <c r="I10" s="61">
        <f t="shared" si="4"/>
        <v>1480710.8079451811</v>
      </c>
      <c r="J10" s="61">
        <f t="shared" si="4"/>
        <v>1522191.2771349996</v>
      </c>
      <c r="K10" s="61">
        <f t="shared" si="4"/>
        <v>1599532.6316420108</v>
      </c>
      <c r="L10" s="84" t="s">
        <v>376</v>
      </c>
      <c r="N10" s="122"/>
      <c r="O10" s="60"/>
    </row>
    <row r="11" spans="1:16" s="58" customFormat="1" ht="28.8" x14ac:dyDescent="0.3">
      <c r="A11" s="99" t="s">
        <v>172</v>
      </c>
      <c r="B11" s="61">
        <f t="shared" ref="B11:K11" si="5">MAX(B3-SUM(B6:B8,B10), B3*$N$6)</f>
        <v>1774382.0011211401</v>
      </c>
      <c r="C11" s="61">
        <f t="shared" si="5"/>
        <v>1750368.7970968378</v>
      </c>
      <c r="D11" s="61">
        <f t="shared" si="5"/>
        <v>1691575.7562216297</v>
      </c>
      <c r="E11" s="61">
        <f t="shared" si="5"/>
        <v>1632257.5935114149</v>
      </c>
      <c r="F11" s="61">
        <f t="shared" si="5"/>
        <v>1572410.9875411871</v>
      </c>
      <c r="G11" s="61">
        <f t="shared" si="5"/>
        <v>1546999.8357902695</v>
      </c>
      <c r="H11" s="61">
        <f t="shared" si="5"/>
        <v>1486229.9013137706</v>
      </c>
      <c r="I11" s="61">
        <f t="shared" si="5"/>
        <v>1424922.038050273</v>
      </c>
      <c r="J11" s="61">
        <f t="shared" si="5"/>
        <v>1398472.649865678</v>
      </c>
      <c r="K11" s="61">
        <f t="shared" si="5"/>
        <v>1336224.1028493163</v>
      </c>
      <c r="L11" s="84" t="s">
        <v>203</v>
      </c>
    </row>
    <row r="12" spans="1:16" s="58" customFormat="1" ht="43.8" x14ac:dyDescent="0.35">
      <c r="A12" s="99" t="s">
        <v>194</v>
      </c>
      <c r="B12" s="61">
        <f t="shared" ref="B12:K12" si="6">B6*$N$3+B11*$N$2</f>
        <v>772565.9232881444</v>
      </c>
      <c r="C12" s="61">
        <f t="shared" si="6"/>
        <v>762110.57425596321</v>
      </c>
      <c r="D12" s="61">
        <f t="shared" si="6"/>
        <v>736512.08425889758</v>
      </c>
      <c r="E12" s="61">
        <f t="shared" si="6"/>
        <v>710684.95621487009</v>
      </c>
      <c r="F12" s="61">
        <f t="shared" si="6"/>
        <v>684627.74397543282</v>
      </c>
      <c r="G12" s="61">
        <f t="shared" si="6"/>
        <v>673563.72850308334</v>
      </c>
      <c r="H12" s="61">
        <f t="shared" si="6"/>
        <v>647104.49903201568</v>
      </c>
      <c r="I12" s="61">
        <f t="shared" si="6"/>
        <v>620411.05536708888</v>
      </c>
      <c r="J12" s="61">
        <f t="shared" si="6"/>
        <v>608894.99175151624</v>
      </c>
      <c r="K12" s="61">
        <f t="shared" si="6"/>
        <v>581791.97438059235</v>
      </c>
      <c r="L12" s="102" t="s">
        <v>204</v>
      </c>
    </row>
    <row r="13" spans="1:16" s="58" customFormat="1" ht="72" x14ac:dyDescent="0.3">
      <c r="A13" s="99"/>
      <c r="B13" s="204" t="s">
        <v>205</v>
      </c>
      <c r="C13" s="205"/>
      <c r="D13" s="205"/>
      <c r="E13" s="205"/>
      <c r="F13" s="205"/>
      <c r="G13" s="205"/>
      <c r="H13" s="205"/>
      <c r="I13" s="205"/>
      <c r="J13" s="206"/>
      <c r="K13" s="177">
        <v>3260</v>
      </c>
      <c r="L13" s="102" t="s">
        <v>368</v>
      </c>
    </row>
    <row r="14" spans="1:16" s="58" customFormat="1" ht="30" x14ac:dyDescent="0.35">
      <c r="A14" s="99" t="s">
        <v>195</v>
      </c>
      <c r="B14" s="80">
        <f t="shared" ref="B14:K14" si="7">B12/B3</f>
        <v>0.2172127874270772</v>
      </c>
      <c r="C14" s="80">
        <f t="shared" si="7"/>
        <v>0.2133968531352452</v>
      </c>
      <c r="D14" s="80">
        <f t="shared" si="7"/>
        <v>0.20538564340985171</v>
      </c>
      <c r="E14" s="80">
        <f t="shared" si="7"/>
        <v>0.19737289489538512</v>
      </c>
      <c r="F14" s="80">
        <f t="shared" si="7"/>
        <v>0.18935861388571407</v>
      </c>
      <c r="G14" s="80">
        <f t="shared" si="7"/>
        <v>0.18553653697216391</v>
      </c>
      <c r="H14" s="80">
        <f t="shared" si="7"/>
        <v>0.17751920974790111</v>
      </c>
      <c r="I14" s="80">
        <f t="shared" si="7"/>
        <v>0.16950036875388638</v>
      </c>
      <c r="J14" s="80">
        <f t="shared" si="7"/>
        <v>0.16567375050565644</v>
      </c>
      <c r="K14" s="80">
        <f t="shared" si="7"/>
        <v>0.15765190051984077</v>
      </c>
      <c r="L14" s="84" t="s">
        <v>206</v>
      </c>
    </row>
    <row r="15" spans="1:16" s="58" customFormat="1" ht="30.6" thickBot="1" x14ac:dyDescent="0.4">
      <c r="A15" s="99" t="s">
        <v>196</v>
      </c>
      <c r="B15" s="79">
        <f>$K$13*B14</f>
        <v>708.11368701227161</v>
      </c>
      <c r="C15" s="79">
        <f t="shared" ref="C15:K15" si="8">$K$13*C14</f>
        <v>695.67374122089939</v>
      </c>
      <c r="D15" s="79">
        <f t="shared" si="8"/>
        <v>669.55719751611662</v>
      </c>
      <c r="E15" s="79">
        <f t="shared" si="8"/>
        <v>643.43563735895555</v>
      </c>
      <c r="F15" s="79">
        <f t="shared" si="8"/>
        <v>617.30908126742781</v>
      </c>
      <c r="G15" s="79">
        <f t="shared" si="8"/>
        <v>604.84911052925429</v>
      </c>
      <c r="H15" s="79">
        <f t="shared" si="8"/>
        <v>578.71262377815765</v>
      </c>
      <c r="I15" s="79">
        <f t="shared" si="8"/>
        <v>552.57120213766962</v>
      </c>
      <c r="J15" s="79">
        <f t="shared" si="8"/>
        <v>540.09642664844</v>
      </c>
      <c r="K15" s="79">
        <f t="shared" si="8"/>
        <v>513.94519569468093</v>
      </c>
      <c r="L15" s="84" t="s">
        <v>250</v>
      </c>
      <c r="N15"/>
      <c r="O15"/>
    </row>
    <row r="16" spans="1:16" ht="29.4" thickBot="1" x14ac:dyDescent="0.35">
      <c r="A16" s="179" t="s">
        <v>197</v>
      </c>
      <c r="B16" s="81">
        <f t="shared" ref="B16:K16" si="9">B12-B15</f>
        <v>771857.80960113218</v>
      </c>
      <c r="C16" s="81">
        <f t="shared" si="9"/>
        <v>761414.90051474236</v>
      </c>
      <c r="D16" s="81">
        <f t="shared" si="9"/>
        <v>735842.52706138149</v>
      </c>
      <c r="E16" s="81">
        <f t="shared" si="9"/>
        <v>710041.52057751117</v>
      </c>
      <c r="F16" s="81">
        <f t="shared" si="9"/>
        <v>684010.43489416537</v>
      </c>
      <c r="G16" s="81">
        <f t="shared" si="9"/>
        <v>672958.87939255405</v>
      </c>
      <c r="H16" s="81">
        <f t="shared" si="9"/>
        <v>646525.78640823753</v>
      </c>
      <c r="I16" s="81">
        <f t="shared" si="9"/>
        <v>619858.48416495125</v>
      </c>
      <c r="J16" s="81">
        <f t="shared" si="9"/>
        <v>608354.8953248678</v>
      </c>
      <c r="K16" s="81">
        <f t="shared" si="9"/>
        <v>581278.02918489766</v>
      </c>
      <c r="L16" s="88" t="s">
        <v>265</v>
      </c>
    </row>
    <row r="17" spans="1:18" s="121" customFormat="1" x14ac:dyDescent="0.3">
      <c r="A17" s="108" t="s">
        <v>218</v>
      </c>
      <c r="B17" s="109"/>
      <c r="C17" s="82"/>
      <c r="D17" s="82"/>
      <c r="E17" s="82"/>
      <c r="F17" s="82"/>
      <c r="G17" s="82"/>
      <c r="H17" s="82"/>
      <c r="I17" s="82"/>
      <c r="J17" s="82"/>
      <c r="K17" s="82"/>
      <c r="P17" s="58"/>
      <c r="Q17" s="58"/>
      <c r="R17" s="58"/>
    </row>
    <row r="18" spans="1:18" s="121" customFormat="1" ht="16.2" x14ac:dyDescent="0.3">
      <c r="A18" s="121" t="s">
        <v>273</v>
      </c>
      <c r="N18" s="4"/>
      <c r="O18" s="4"/>
    </row>
    <row r="19" spans="1:18" s="121" customFormat="1" x14ac:dyDescent="0.3">
      <c r="A19" s="110" t="s">
        <v>259</v>
      </c>
    </row>
    <row r="20" spans="1:18" x14ac:dyDescent="0.3">
      <c r="L20" s="121"/>
    </row>
  </sheetData>
  <mergeCells count="3">
    <mergeCell ref="B1:L1"/>
    <mergeCell ref="N1:O1"/>
    <mergeCell ref="B13:J13"/>
  </mergeCells>
  <hyperlinks>
    <hyperlink ref="A19" r:id="rId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0"/>
  <sheetViews>
    <sheetView workbookViewId="0"/>
  </sheetViews>
  <sheetFormatPr defaultRowHeight="15.6" x14ac:dyDescent="0.3"/>
  <cols>
    <col min="1" max="1" width="37.6640625" customWidth="1"/>
    <col min="2" max="11" width="11.44140625" customWidth="1"/>
    <col min="12" max="12" width="49.33203125" customWidth="1"/>
    <col min="14" max="14" width="8.6640625" customWidth="1"/>
    <col min="15" max="15" width="34.109375" customWidth="1"/>
    <col min="16" max="16" width="14.33203125" customWidth="1"/>
    <col min="21" max="21" width="13.33203125" style="4" customWidth="1"/>
    <col min="22" max="22" width="12" style="4" bestFit="1" customWidth="1"/>
  </cols>
  <sheetData>
    <row r="1" spans="1:22" s="58" customFormat="1" x14ac:dyDescent="0.3">
      <c r="A1" s="97" t="s">
        <v>189</v>
      </c>
      <c r="B1" s="199" t="s">
        <v>173</v>
      </c>
      <c r="C1" s="200"/>
      <c r="D1" s="200"/>
      <c r="E1" s="200"/>
      <c r="F1" s="200"/>
      <c r="G1" s="200"/>
      <c r="H1" s="200"/>
      <c r="I1" s="200"/>
      <c r="J1" s="200"/>
      <c r="K1" s="200"/>
      <c r="L1" s="201"/>
      <c r="N1" s="202" t="s">
        <v>193</v>
      </c>
      <c r="O1" s="203"/>
      <c r="P1" s="60"/>
    </row>
    <row r="2" spans="1:22"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22" s="58" customFormat="1" ht="58.8" x14ac:dyDescent="0.35">
      <c r="A3" s="99" t="s">
        <v>166</v>
      </c>
      <c r="B3" s="61">
        <f>SUMIFS('Form 1.5a'!J:J, 'Form 1.5a'!$B:$B, "SCE Service Area*")*1000</f>
        <v>93383000.000000015</v>
      </c>
      <c r="C3" s="61">
        <f>SUMIFS('Form 1.5a'!K:K, 'Form 1.5a'!$B:$B, "SCE Service Area*")*1000</f>
        <v>93970000</v>
      </c>
      <c r="D3" s="61">
        <f>SUMIFS('Form 1.5a'!L:L, 'Form 1.5a'!$B:$B, "SCE Service Area*")*1000</f>
        <v>94281000</v>
      </c>
      <c r="E3" s="61">
        <f>SUMIFS('Form 1.5a'!M:M, 'Form 1.5a'!$B:$B, "SCE Service Area*")*1000</f>
        <v>94490000.000000015</v>
      </c>
      <c r="F3" s="61">
        <f>SUMIFS('Form 1.5a'!N:N, 'Form 1.5a'!$B:$B, "SCE Service Area*")*1000</f>
        <v>94818000.000000015</v>
      </c>
      <c r="G3" s="61">
        <f>SUMIFS('Form 1.5a'!O:O, 'Form 1.5a'!$B:$B, "SCE Service Area*")*1000</f>
        <v>94901999.999999985</v>
      </c>
      <c r="H3" s="65">
        <f>AVERAGE(E3:G3)*(1+$N$8)</f>
        <v>94885853.577128187</v>
      </c>
      <c r="I3" s="65">
        <f t="shared" ref="I3:K4" si="0">H3*(1+$N$8)</f>
        <v>95035275.420219645</v>
      </c>
      <c r="J3" s="65">
        <f t="shared" si="0"/>
        <v>95184932.565902084</v>
      </c>
      <c r="K3" s="65">
        <f t="shared" si="0"/>
        <v>95334825.384719089</v>
      </c>
      <c r="L3" s="84" t="s">
        <v>209</v>
      </c>
      <c r="N3" s="62">
        <v>0.91839999999999999</v>
      </c>
      <c r="O3" s="8" t="s">
        <v>199</v>
      </c>
    </row>
    <row r="4" spans="1:22" s="58" customFormat="1" ht="57.6" x14ac:dyDescent="0.3">
      <c r="A4" s="99" t="s">
        <v>167</v>
      </c>
      <c r="B4" s="61">
        <f>SUMIFS('Form 1.1c'!J:J, 'Form 1.1c'!$B:$B, "Southern California Edison*")*1000</f>
        <v>87450000</v>
      </c>
      <c r="C4" s="61">
        <f>SUMIFS('Form 1.1c'!K:K, 'Form 1.1c'!$B:$B, "Southern California Edison*")*1000</f>
        <v>88003000</v>
      </c>
      <c r="D4" s="61">
        <f>SUMIFS('Form 1.1c'!L:L, 'Form 1.1c'!$B:$B, "Southern California Edison*")*1000</f>
        <v>88301000</v>
      </c>
      <c r="E4" s="61">
        <f>SUMIFS('Form 1.1c'!M:M, 'Form 1.1c'!$B:$B, "Southern California Edison*")*1000</f>
        <v>88501000</v>
      </c>
      <c r="F4" s="61">
        <f>SUMIFS('Form 1.1c'!N:N, 'Form 1.1c'!$B:$B, "Southern California Edison*")*1000</f>
        <v>88815000</v>
      </c>
      <c r="G4" s="61">
        <f>SUMIFS('Form 1.1c'!O:O, 'Form 1.1c'!$B:$B, "Southern California Edison*")*1000</f>
        <v>88897000</v>
      </c>
      <c r="H4" s="65">
        <f>AVERAGE(E4:G4)*(1+$N$8)</f>
        <v>88877406.630055323</v>
      </c>
      <c r="I4" s="61">
        <f t="shared" si="0"/>
        <v>89017366.64945966</v>
      </c>
      <c r="J4" s="61">
        <f t="shared" si="0"/>
        <v>89157547.071413696</v>
      </c>
      <c r="K4" s="61">
        <f t="shared" si="0"/>
        <v>89297948.242997155</v>
      </c>
      <c r="L4" s="84" t="s">
        <v>211</v>
      </c>
      <c r="N4" s="68">
        <f>0.15</f>
        <v>0.15</v>
      </c>
      <c r="O4" s="84" t="s">
        <v>165</v>
      </c>
    </row>
    <row r="5" spans="1:22" s="58" customFormat="1" ht="28.8" x14ac:dyDescent="0.3">
      <c r="A5" s="99" t="s">
        <v>191</v>
      </c>
      <c r="B5" s="61">
        <f>IF(0&lt;(B3-B4)/B3,B4,B3*(1-$N$5))</f>
        <v>87450000</v>
      </c>
      <c r="C5" s="61">
        <f t="shared" ref="C5:K5" si="1">IF(0&lt;(C3-C4)/C3,C4,C3*(1-$N$5))</f>
        <v>88003000</v>
      </c>
      <c r="D5" s="61">
        <f t="shared" si="1"/>
        <v>88301000</v>
      </c>
      <c r="E5" s="61">
        <f t="shared" si="1"/>
        <v>88501000</v>
      </c>
      <c r="F5" s="61">
        <f t="shared" si="1"/>
        <v>88815000</v>
      </c>
      <c r="G5" s="61">
        <f t="shared" si="1"/>
        <v>88897000</v>
      </c>
      <c r="H5" s="61">
        <f t="shared" si="1"/>
        <v>88877406.630055323</v>
      </c>
      <c r="I5" s="61">
        <f t="shared" si="1"/>
        <v>89017366.64945966</v>
      </c>
      <c r="J5" s="61">
        <f t="shared" si="1"/>
        <v>89157547.071413696</v>
      </c>
      <c r="K5" s="61">
        <f t="shared" si="1"/>
        <v>89297948.242997155</v>
      </c>
      <c r="L5" s="84" t="s">
        <v>271</v>
      </c>
      <c r="N5" s="68">
        <f>0.07</f>
        <v>7.0000000000000007E-2</v>
      </c>
      <c r="O5" s="84" t="s">
        <v>275</v>
      </c>
    </row>
    <row r="6" spans="1:22" s="58" customFormat="1" ht="14.4" x14ac:dyDescent="0.3">
      <c r="A6" s="99" t="s">
        <v>168</v>
      </c>
      <c r="B6" s="61">
        <v>0</v>
      </c>
      <c r="C6" s="61">
        <v>0</v>
      </c>
      <c r="D6" s="61">
        <v>0</v>
      </c>
      <c r="E6" s="61">
        <v>0</v>
      </c>
      <c r="F6" s="61">
        <v>0</v>
      </c>
      <c r="G6" s="61">
        <v>0</v>
      </c>
      <c r="H6" s="61">
        <v>0</v>
      </c>
      <c r="I6" s="61">
        <v>0</v>
      </c>
      <c r="J6" s="61">
        <v>0</v>
      </c>
      <c r="K6" s="61">
        <v>0</v>
      </c>
      <c r="L6" s="111" t="s">
        <v>223</v>
      </c>
      <c r="N6" s="63">
        <v>0.05</v>
      </c>
      <c r="O6" s="84" t="s">
        <v>200</v>
      </c>
    </row>
    <row r="7" spans="1:22" s="58" customFormat="1" ht="28.8" x14ac:dyDescent="0.3">
      <c r="A7" s="99" t="s">
        <v>169</v>
      </c>
      <c r="B7" s="61">
        <v>5036614.5</v>
      </c>
      <c r="C7" s="61">
        <f>B7</f>
        <v>5036614.5</v>
      </c>
      <c r="D7" s="61">
        <f t="shared" ref="D7:K7" si="2">C7</f>
        <v>5036614.5</v>
      </c>
      <c r="E7" s="61">
        <f t="shared" si="2"/>
        <v>5036614.5</v>
      </c>
      <c r="F7" s="61">
        <f t="shared" si="2"/>
        <v>5036614.5</v>
      </c>
      <c r="G7" s="61">
        <f t="shared" si="2"/>
        <v>5036614.5</v>
      </c>
      <c r="H7" s="61">
        <f t="shared" si="2"/>
        <v>5036614.5</v>
      </c>
      <c r="I7" s="61">
        <f t="shared" si="2"/>
        <v>5036614.5</v>
      </c>
      <c r="J7" s="61">
        <f t="shared" si="2"/>
        <v>5036614.5</v>
      </c>
      <c r="K7" s="61">
        <f t="shared" si="2"/>
        <v>5036614.5</v>
      </c>
      <c r="L7" s="84" t="s">
        <v>231</v>
      </c>
      <c r="O7" s="101"/>
    </row>
    <row r="8" spans="1:22" s="58" customFormat="1" ht="28.8" x14ac:dyDescent="0.3">
      <c r="A8" s="99" t="s">
        <v>170</v>
      </c>
      <c r="B8" s="61">
        <v>1690000</v>
      </c>
      <c r="C8" s="61">
        <f>B8</f>
        <v>1690000</v>
      </c>
      <c r="D8" s="61">
        <f t="shared" ref="D8:K8" si="3">C8</f>
        <v>1690000</v>
      </c>
      <c r="E8" s="61">
        <f t="shared" si="3"/>
        <v>1690000</v>
      </c>
      <c r="F8" s="61">
        <f t="shared" si="3"/>
        <v>1690000</v>
      </c>
      <c r="G8" s="61">
        <f t="shared" si="3"/>
        <v>1690000</v>
      </c>
      <c r="H8" s="61">
        <f t="shared" si="3"/>
        <v>1690000</v>
      </c>
      <c r="I8" s="61">
        <f t="shared" si="3"/>
        <v>1690000</v>
      </c>
      <c r="J8" s="61">
        <f t="shared" si="3"/>
        <v>1690000</v>
      </c>
      <c r="K8" s="61">
        <f t="shared" si="3"/>
        <v>1690000</v>
      </c>
      <c r="L8" s="84" t="s">
        <v>232</v>
      </c>
      <c r="N8" s="64">
        <v>1.574753637748652E-3</v>
      </c>
      <c r="O8" s="84" t="s">
        <v>201</v>
      </c>
    </row>
    <row r="9" spans="1:22"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22" s="58" customFormat="1" ht="14.4" x14ac:dyDescent="0.3">
      <c r="A10" s="99" t="s">
        <v>171</v>
      </c>
      <c r="B10" s="61">
        <f t="shared" ref="B10:K10" si="4">B5*B9</f>
        <v>26235000</v>
      </c>
      <c r="C10" s="61">
        <f t="shared" si="4"/>
        <v>27280930</v>
      </c>
      <c r="D10" s="61">
        <f t="shared" si="4"/>
        <v>29139330</v>
      </c>
      <c r="E10" s="61">
        <f t="shared" si="4"/>
        <v>30975349.999999996</v>
      </c>
      <c r="F10" s="61">
        <f t="shared" si="4"/>
        <v>32861550</v>
      </c>
      <c r="G10" s="61">
        <f t="shared" si="4"/>
        <v>33780860</v>
      </c>
      <c r="H10" s="61">
        <f t="shared" si="4"/>
        <v>35550962.652022131</v>
      </c>
      <c r="I10" s="61">
        <f t="shared" si="4"/>
        <v>37387293.992773056</v>
      </c>
      <c r="J10" s="61">
        <f t="shared" si="4"/>
        <v>38337745.240707889</v>
      </c>
      <c r="K10" s="61">
        <f t="shared" si="4"/>
        <v>40184076.709348723</v>
      </c>
      <c r="L10" s="84" t="s">
        <v>376</v>
      </c>
      <c r="N10" s="123"/>
    </row>
    <row r="11" spans="1:22" s="58" customFormat="1" ht="28.8" x14ac:dyDescent="0.3">
      <c r="A11" s="99" t="s">
        <v>172</v>
      </c>
      <c r="B11" s="61">
        <f t="shared" ref="B11:K11" si="5">MAX(B3-SUM(B6:B8,B10), B3*$N$6)</f>
        <v>60421385.500000015</v>
      </c>
      <c r="C11" s="61">
        <f t="shared" si="5"/>
        <v>59962455.5</v>
      </c>
      <c r="D11" s="61">
        <f t="shared" si="5"/>
        <v>58415055.5</v>
      </c>
      <c r="E11" s="61">
        <f t="shared" si="5"/>
        <v>56788035.500000015</v>
      </c>
      <c r="F11" s="61">
        <f t="shared" si="5"/>
        <v>55229835.500000015</v>
      </c>
      <c r="G11" s="61">
        <f t="shared" si="5"/>
        <v>54394525.499999985</v>
      </c>
      <c r="H11" s="61">
        <f t="shared" si="5"/>
        <v>52608276.425106056</v>
      </c>
      <c r="I11" s="61">
        <f t="shared" si="5"/>
        <v>50921366.927446589</v>
      </c>
      <c r="J11" s="61">
        <f t="shared" si="5"/>
        <v>50120572.825194195</v>
      </c>
      <c r="K11" s="61">
        <f t="shared" si="5"/>
        <v>48424134.175370365</v>
      </c>
      <c r="L11" s="84" t="s">
        <v>203</v>
      </c>
    </row>
    <row r="12" spans="1:22" s="58" customFormat="1" ht="43.8" x14ac:dyDescent="0.35">
      <c r="A12" s="99" t="s">
        <v>194</v>
      </c>
      <c r="B12" s="61">
        <f t="shared" ref="B12:K12" si="6">B6*$N$3+B11*$N$2</f>
        <v>26307471.246700007</v>
      </c>
      <c r="C12" s="61">
        <f t="shared" si="6"/>
        <v>26107653.124700002</v>
      </c>
      <c r="D12" s="61">
        <f t="shared" si="6"/>
        <v>25433915.164700001</v>
      </c>
      <c r="E12" s="61">
        <f t="shared" si="6"/>
        <v>24725510.656700008</v>
      </c>
      <c r="F12" s="61">
        <f t="shared" si="6"/>
        <v>24047070.376700006</v>
      </c>
      <c r="G12" s="61">
        <f t="shared" si="6"/>
        <v>23683376.402699996</v>
      </c>
      <c r="H12" s="61">
        <f t="shared" si="6"/>
        <v>22905643.555491176</v>
      </c>
      <c r="I12" s="61">
        <f t="shared" si="6"/>
        <v>22171163.160210244</v>
      </c>
      <c r="J12" s="61">
        <f t="shared" si="6"/>
        <v>21822497.408089552</v>
      </c>
      <c r="K12" s="61">
        <f t="shared" si="6"/>
        <v>21083868.019956257</v>
      </c>
      <c r="L12" s="102" t="s">
        <v>204</v>
      </c>
    </row>
    <row r="13" spans="1:22" s="58" customFormat="1" ht="72" x14ac:dyDescent="0.3">
      <c r="A13" s="99"/>
      <c r="B13" s="204" t="s">
        <v>205</v>
      </c>
      <c r="C13" s="205"/>
      <c r="D13" s="205"/>
      <c r="E13" s="205"/>
      <c r="F13" s="205"/>
      <c r="G13" s="205"/>
      <c r="H13" s="205"/>
      <c r="I13" s="205"/>
      <c r="J13" s="206"/>
      <c r="K13" s="178">
        <v>3989390.3509333339</v>
      </c>
      <c r="L13" s="102" t="s">
        <v>368</v>
      </c>
    </row>
    <row r="14" spans="1:22" s="58" customFormat="1" ht="30" x14ac:dyDescent="0.35">
      <c r="A14" s="99" t="s">
        <v>195</v>
      </c>
      <c r="B14" s="80">
        <f t="shared" ref="B14:K14" si="7">B12/B3</f>
        <v>0.2817158502800296</v>
      </c>
      <c r="C14" s="80">
        <f t="shared" si="7"/>
        <v>0.27782965972863682</v>
      </c>
      <c r="D14" s="80">
        <f t="shared" si="7"/>
        <v>0.2697671340429143</v>
      </c>
      <c r="E14" s="80">
        <f t="shared" si="7"/>
        <v>0.26167330571171554</v>
      </c>
      <c r="F14" s="80">
        <f t="shared" si="7"/>
        <v>0.25361292557003945</v>
      </c>
      <c r="G14" s="80">
        <f t="shared" si="7"/>
        <v>0.24955613583170005</v>
      </c>
      <c r="H14" s="80">
        <f t="shared" si="7"/>
        <v>0.24140209200808074</v>
      </c>
      <c r="I14" s="80">
        <f t="shared" si="7"/>
        <v>0.2332940380524548</v>
      </c>
      <c r="J14" s="80">
        <f t="shared" si="7"/>
        <v>0.22926419990874672</v>
      </c>
      <c r="K14" s="80">
        <f t="shared" si="7"/>
        <v>0.22115599346695528</v>
      </c>
      <c r="L14" s="84" t="s">
        <v>206</v>
      </c>
    </row>
    <row r="15" spans="1:22" s="58" customFormat="1" ht="30.6" thickBot="1" x14ac:dyDescent="0.4">
      <c r="A15" s="99" t="s">
        <v>196</v>
      </c>
      <c r="B15" s="79">
        <f>$K$13*B14</f>
        <v>1123874.4948121298</v>
      </c>
      <c r="C15" s="79">
        <f t="shared" ref="C15:K15" si="8">$K$13*C14</f>
        <v>1108370.9637245152</v>
      </c>
      <c r="D15" s="79">
        <f t="shared" si="8"/>
        <v>1076206.4015497416</v>
      </c>
      <c r="E15" s="79">
        <f t="shared" si="8"/>
        <v>1043916.9609031464</v>
      </c>
      <c r="F15" s="79">
        <f t="shared" si="8"/>
        <v>1011760.9581410892</v>
      </c>
      <c r="G15" s="79">
        <f t="shared" si="8"/>
        <v>995576.84030319261</v>
      </c>
      <c r="H15" s="79">
        <f t="shared" si="8"/>
        <v>963047.1765521582</v>
      </c>
      <c r="I15" s="79">
        <f t="shared" si="8"/>
        <v>930700.98433673719</v>
      </c>
      <c r="J15" s="79">
        <f t="shared" si="8"/>
        <v>914624.38693040505</v>
      </c>
      <c r="K15" s="79">
        <f t="shared" si="8"/>
        <v>882277.58638814674</v>
      </c>
      <c r="L15" s="84" t="s">
        <v>250</v>
      </c>
    </row>
    <row r="16" spans="1:22" ht="29.4" thickBot="1" x14ac:dyDescent="0.35">
      <c r="A16" s="179" t="s">
        <v>197</v>
      </c>
      <c r="B16" s="81">
        <f t="shared" ref="B16:K16" si="9">B12-B15</f>
        <v>25183596.751887877</v>
      </c>
      <c r="C16" s="81">
        <f t="shared" si="9"/>
        <v>24999282.160975486</v>
      </c>
      <c r="D16" s="81">
        <f t="shared" si="9"/>
        <v>24357708.76315026</v>
      </c>
      <c r="E16" s="81">
        <f t="shared" si="9"/>
        <v>23681593.695796862</v>
      </c>
      <c r="F16" s="81">
        <f t="shared" si="9"/>
        <v>23035309.418558918</v>
      </c>
      <c r="G16" s="81">
        <f t="shared" si="9"/>
        <v>22687799.562396802</v>
      </c>
      <c r="H16" s="81">
        <f t="shared" si="9"/>
        <v>21942596.378939018</v>
      </c>
      <c r="I16" s="81">
        <f t="shared" si="9"/>
        <v>21240462.175873507</v>
      </c>
      <c r="J16" s="81">
        <f t="shared" si="9"/>
        <v>20907873.021159146</v>
      </c>
      <c r="K16" s="81">
        <f t="shared" si="9"/>
        <v>20201590.433568109</v>
      </c>
      <c r="L16" s="88" t="s">
        <v>265</v>
      </c>
      <c r="P16" s="58"/>
      <c r="Q16" s="58"/>
      <c r="R16" s="58"/>
      <c r="U16"/>
      <c r="V16"/>
    </row>
    <row r="17" spans="1:22" ht="14.4" x14ac:dyDescent="0.3">
      <c r="A17" s="82"/>
      <c r="B17" s="82"/>
      <c r="C17" s="82"/>
      <c r="D17" s="82"/>
      <c r="E17" s="82"/>
      <c r="F17" s="82"/>
      <c r="G17" s="82"/>
      <c r="H17" s="82"/>
      <c r="I17" s="82"/>
      <c r="J17" s="82"/>
      <c r="K17" s="82"/>
      <c r="U17"/>
      <c r="V17"/>
    </row>
    <row r="18" spans="1:22" ht="14.4" x14ac:dyDescent="0.3">
      <c r="A18" s="82"/>
      <c r="B18" s="82"/>
      <c r="C18" s="82"/>
      <c r="D18" s="82"/>
      <c r="E18" s="82"/>
      <c r="F18" s="82"/>
      <c r="G18" s="82"/>
      <c r="H18" s="82"/>
      <c r="I18" s="82"/>
      <c r="J18" s="82"/>
      <c r="K18" s="82"/>
      <c r="N18" s="58"/>
      <c r="O18" s="58"/>
      <c r="U18"/>
      <c r="V18"/>
    </row>
    <row r="139" spans="21:22" x14ac:dyDescent="0.3">
      <c r="U139" s="5"/>
      <c r="V139" s="5"/>
    </row>
    <row r="140" spans="21:22" x14ac:dyDescent="0.3">
      <c r="U140" s="5"/>
      <c r="V140" s="5"/>
    </row>
  </sheetData>
  <mergeCells count="3">
    <mergeCell ref="B1:L1"/>
    <mergeCell ref="N1:O1"/>
    <mergeCell ref="B13:J13"/>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190</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22130.801719110405</v>
      </c>
      <c r="C3" s="65">
        <f>B3*(1+$N$8)</f>
        <v>22226.420354270649</v>
      </c>
      <c r="D3" s="65">
        <f>C3*(1+$N$8)</f>
        <v>22322.452120572998</v>
      </c>
      <c r="E3" s="65">
        <f>D3*(1+$N$8)</f>
        <v>22418.898802997337</v>
      </c>
      <c r="F3" s="65">
        <f>E3*(1+$N$8)</f>
        <v>22515.762194235765</v>
      </c>
      <c r="G3" s="65">
        <f>F3*(1+$N$8)</f>
        <v>22613.044094725901</v>
      </c>
      <c r="H3" s="65">
        <f t="shared" ref="H3:K4" si="0">G3*(1+$N$8)</f>
        <v>22710.746312684369</v>
      </c>
      <c r="I3" s="65">
        <f t="shared" si="0"/>
        <v>22808.870664140388</v>
      </c>
      <c r="J3" s="65">
        <f t="shared" si="0"/>
        <v>22907.418972969539</v>
      </c>
      <c r="K3" s="65">
        <f t="shared" si="0"/>
        <v>23006.393070927672</v>
      </c>
      <c r="L3" s="84" t="s">
        <v>210</v>
      </c>
      <c r="N3" s="62">
        <v>0.91839999999999999</v>
      </c>
      <c r="O3" s="8" t="s">
        <v>199</v>
      </c>
    </row>
    <row r="4" spans="1:18" s="58" customFormat="1" ht="57.6" x14ac:dyDescent="0.3">
      <c r="A4" s="99" t="s">
        <v>167</v>
      </c>
      <c r="B4" s="61">
        <f>SUMIFS('Form 1.1c'!J:J,'Form 1.1c'!$B:$B,"Port of Stockton")*1000</f>
        <v>20000</v>
      </c>
      <c r="C4" s="61">
        <f>SUMIFS('Form 1.1c'!K:K,'Form 1.1c'!$B:$B,"Port of Stockton")*1000</f>
        <v>20000</v>
      </c>
      <c r="D4" s="61">
        <f>SUMIFS('Form 1.1c'!L:L,'Form 1.1c'!$B:$B,"Port of Stockton")*1000</f>
        <v>20000</v>
      </c>
      <c r="E4" s="61">
        <f>SUMIFS('Form 1.1c'!M:M,'Form 1.1c'!$B:$B,"Port of Stockton")*1000</f>
        <v>20000</v>
      </c>
      <c r="F4" s="61">
        <f>SUMIFS('Form 1.1c'!N:N,'Form 1.1c'!$B:$B,"Port of Stockton")*1000</f>
        <v>20000</v>
      </c>
      <c r="G4" s="61">
        <f>SUMIFS('Form 1.1c'!O:O,'Form 1.1c'!$B:$B,"Port of Stockton")*1000</f>
        <v>21000</v>
      </c>
      <c r="H4" s="65">
        <f>AVERAGE(E4:G4)*(1+$N$8)</f>
        <v>20421.185802767945</v>
      </c>
      <c r="I4" s="61">
        <f t="shared" si="0"/>
        <v>20509.417848746121</v>
      </c>
      <c r="J4" s="61">
        <f t="shared" si="0"/>
        <v>20598.031111271303</v>
      </c>
      <c r="K4" s="61">
        <f t="shared" si="0"/>
        <v>20687.027237432754</v>
      </c>
      <c r="L4" s="84" t="s">
        <v>211</v>
      </c>
      <c r="N4" s="68">
        <f>0.15</f>
        <v>0.15</v>
      </c>
      <c r="O4" s="84" t="s">
        <v>165</v>
      </c>
    </row>
    <row r="5" spans="1:18" s="58" customFormat="1" ht="28.8" x14ac:dyDescent="0.3">
      <c r="A5" s="99" t="s">
        <v>191</v>
      </c>
      <c r="B5" s="61">
        <f>IF(0&lt;(B3-B4)/B3,B4,B3*(1-$N$5))</f>
        <v>20000</v>
      </c>
      <c r="C5" s="61">
        <f t="shared" ref="C5:K5" si="1">IF(0&lt;(C3-C4)/C3,C4,C3*(1-$N$5))</f>
        <v>20000</v>
      </c>
      <c r="D5" s="61">
        <f t="shared" si="1"/>
        <v>20000</v>
      </c>
      <c r="E5" s="61">
        <f t="shared" si="1"/>
        <v>20000</v>
      </c>
      <c r="F5" s="61">
        <f t="shared" si="1"/>
        <v>20000</v>
      </c>
      <c r="G5" s="61">
        <f t="shared" si="1"/>
        <v>21000</v>
      </c>
      <c r="H5" s="61">
        <f t="shared" si="1"/>
        <v>20421.185802767945</v>
      </c>
      <c r="I5" s="61">
        <f t="shared" si="1"/>
        <v>20509.417848746121</v>
      </c>
      <c r="J5" s="61">
        <f t="shared" si="1"/>
        <v>20598.031111271303</v>
      </c>
      <c r="K5" s="61">
        <f t="shared" si="1"/>
        <v>20687.027237432754</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179.00000000000003</v>
      </c>
      <c r="C8" s="65">
        <f>B8</f>
        <v>179.00000000000003</v>
      </c>
      <c r="D8" s="65">
        <f t="shared" ref="D8:K8" si="2">C8</f>
        <v>179.00000000000003</v>
      </c>
      <c r="E8" s="65">
        <f t="shared" si="2"/>
        <v>179.00000000000003</v>
      </c>
      <c r="F8" s="65">
        <f t="shared" si="2"/>
        <v>179.00000000000003</v>
      </c>
      <c r="G8" s="65">
        <f t="shared" si="2"/>
        <v>179.00000000000003</v>
      </c>
      <c r="H8" s="65">
        <f t="shared" si="2"/>
        <v>179.00000000000003</v>
      </c>
      <c r="I8" s="65">
        <f t="shared" si="2"/>
        <v>179.00000000000003</v>
      </c>
      <c r="J8" s="65">
        <f t="shared" si="2"/>
        <v>179.00000000000003</v>
      </c>
      <c r="K8" s="65">
        <f t="shared" si="2"/>
        <v>179.00000000000003</v>
      </c>
      <c r="L8" s="84" t="s">
        <v>236</v>
      </c>
      <c r="N8" s="64">
        <v>4.3206132508826212E-3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6000</v>
      </c>
      <c r="C10" s="61">
        <f t="shared" ref="C10:K10" si="3">C5*C9</f>
        <v>6200</v>
      </c>
      <c r="D10" s="61">
        <f t="shared" si="3"/>
        <v>6600</v>
      </c>
      <c r="E10" s="61">
        <f t="shared" si="3"/>
        <v>7000</v>
      </c>
      <c r="F10" s="61">
        <f t="shared" si="3"/>
        <v>7400</v>
      </c>
      <c r="G10" s="61">
        <f t="shared" si="3"/>
        <v>7980</v>
      </c>
      <c r="H10" s="61">
        <f t="shared" si="3"/>
        <v>8168.4743211071782</v>
      </c>
      <c r="I10" s="61">
        <f t="shared" si="3"/>
        <v>8613.9554964733707</v>
      </c>
      <c r="J10" s="61">
        <f t="shared" si="3"/>
        <v>8857.1533778466601</v>
      </c>
      <c r="K10" s="61">
        <f t="shared" si="3"/>
        <v>9309.1622568447401</v>
      </c>
      <c r="L10" s="84" t="s">
        <v>376</v>
      </c>
      <c r="N10" s="122"/>
      <c r="O10" s="60"/>
    </row>
    <row r="11" spans="1:18" s="58" customFormat="1" ht="28.8" x14ac:dyDescent="0.3">
      <c r="A11" s="99" t="s">
        <v>172</v>
      </c>
      <c r="B11" s="61">
        <f t="shared" ref="B11:K11" si="4">MAX(B3-SUM(B6:B8,B10), B3*$N$6)</f>
        <v>15951.801719110405</v>
      </c>
      <c r="C11" s="61">
        <f t="shared" si="4"/>
        <v>15847.420354270649</v>
      </c>
      <c r="D11" s="61">
        <f t="shared" si="4"/>
        <v>15543.452120572998</v>
      </c>
      <c r="E11" s="61">
        <f t="shared" si="4"/>
        <v>15239.898802997337</v>
      </c>
      <c r="F11" s="61">
        <f t="shared" si="4"/>
        <v>14936.762194235765</v>
      </c>
      <c r="G11" s="61">
        <f t="shared" si="4"/>
        <v>14454.044094725901</v>
      </c>
      <c r="H11" s="61">
        <f t="shared" si="4"/>
        <v>14363.27199157719</v>
      </c>
      <c r="I11" s="61">
        <f t="shared" si="4"/>
        <v>14015.915167667017</v>
      </c>
      <c r="J11" s="61">
        <f t="shared" si="4"/>
        <v>13871.265595122879</v>
      </c>
      <c r="K11" s="61">
        <f t="shared" si="4"/>
        <v>13518.230814082932</v>
      </c>
      <c r="L11" s="84" t="s">
        <v>203</v>
      </c>
    </row>
    <row r="12" spans="1:18" s="58" customFormat="1" ht="43.8" x14ac:dyDescent="0.35">
      <c r="A12" s="99" t="s">
        <v>194</v>
      </c>
      <c r="B12" s="61">
        <f t="shared" ref="B12:K12" si="5">B6*$N$3+B11*$N$2</f>
        <v>6945.4144685006704</v>
      </c>
      <c r="C12" s="61">
        <f t="shared" si="5"/>
        <v>6899.9668222494411</v>
      </c>
      <c r="D12" s="61">
        <f t="shared" si="5"/>
        <v>6767.6190532974833</v>
      </c>
      <c r="E12" s="61">
        <f t="shared" si="5"/>
        <v>6635.451938825041</v>
      </c>
      <c r="F12" s="61">
        <f t="shared" si="5"/>
        <v>6503.4662593702524</v>
      </c>
      <c r="G12" s="61">
        <f t="shared" si="5"/>
        <v>6293.2907988436573</v>
      </c>
      <c r="H12" s="61">
        <f t="shared" si="5"/>
        <v>6253.7686251327086</v>
      </c>
      <c r="I12" s="61">
        <f t="shared" si="5"/>
        <v>6102.5294640022194</v>
      </c>
      <c r="J12" s="61">
        <f t="shared" si="5"/>
        <v>6039.5490401165016</v>
      </c>
      <c r="K12" s="61">
        <f t="shared" si="5"/>
        <v>5885.8376964517083</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0.31383474293672614</v>
      </c>
      <c r="C14" s="80">
        <f t="shared" si="6"/>
        <v>0.31043985996259005</v>
      </c>
      <c r="D14" s="80">
        <f t="shared" si="6"/>
        <v>0.30317543147781045</v>
      </c>
      <c r="E14" s="80">
        <f t="shared" si="6"/>
        <v>0.29597581920205207</v>
      </c>
      <c r="F14" s="80">
        <f t="shared" si="6"/>
        <v>0.28884059989917626</v>
      </c>
      <c r="G14" s="80">
        <f t="shared" si="6"/>
        <v>0.27830356552090474</v>
      </c>
      <c r="H14" s="80">
        <f t="shared" si="6"/>
        <v>0.27536605530395381</v>
      </c>
      <c r="I14" s="80">
        <f t="shared" si="6"/>
        <v>0.26755070664662428</v>
      </c>
      <c r="J14" s="80">
        <f t="shared" si="6"/>
        <v>0.26365035044948065</v>
      </c>
      <c r="K14" s="80">
        <f t="shared" si="6"/>
        <v>0.25583487504129554</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6945.4144685006704</v>
      </c>
      <c r="C16" s="81">
        <f t="shared" si="8"/>
        <v>6899.9668222494411</v>
      </c>
      <c r="D16" s="81">
        <f t="shared" si="8"/>
        <v>6767.6190532974833</v>
      </c>
      <c r="E16" s="81">
        <f t="shared" si="8"/>
        <v>6635.451938825041</v>
      </c>
      <c r="F16" s="81">
        <f t="shared" si="8"/>
        <v>6503.4662593702524</v>
      </c>
      <c r="G16" s="81">
        <f t="shared" si="8"/>
        <v>6293.2907988436573</v>
      </c>
      <c r="H16" s="81">
        <f t="shared" si="8"/>
        <v>6253.7686251327086</v>
      </c>
      <c r="I16" s="81">
        <f t="shared" si="8"/>
        <v>6102.5294640022194</v>
      </c>
      <c r="J16" s="81">
        <f t="shared" si="8"/>
        <v>6039.5490401165016</v>
      </c>
      <c r="K16" s="81">
        <f t="shared" si="8"/>
        <v>5885.8376964517083</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6" s="58" customFormat="1" ht="15.6" x14ac:dyDescent="0.3">
      <c r="A1" s="97" t="s">
        <v>32</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58.8" x14ac:dyDescent="0.35">
      <c r="A3" s="99" t="s">
        <v>166</v>
      </c>
      <c r="B3" s="61">
        <v>127229.74279459975</v>
      </c>
      <c r="C3" s="65">
        <f>B3*(1+$N$8)</f>
        <v>128163.79378368173</v>
      </c>
      <c r="D3" s="65">
        <f>C3*(1+$N$8)</f>
        <v>129104.70206282058</v>
      </c>
      <c r="E3" s="65">
        <f>D3*(1+$N$8)</f>
        <v>130052.51797447885</v>
      </c>
      <c r="F3" s="65">
        <f>E3*(1+$N$8)</f>
        <v>131007.29223070582</v>
      </c>
      <c r="G3" s="65">
        <f>F3*(1+$N$8)</f>
        <v>131969.07591585082</v>
      </c>
      <c r="H3" s="65">
        <f t="shared" ref="H3:K4" si="0">G3*(1+$N$8)</f>
        <v>132937.92048929646</v>
      </c>
      <c r="I3" s="65">
        <f t="shared" si="0"/>
        <v>133913.87778821195</v>
      </c>
      <c r="J3" s="65">
        <f t="shared" si="0"/>
        <v>134897.00003032648</v>
      </c>
      <c r="K3" s="65">
        <f t="shared" si="0"/>
        <v>135887.33981672322</v>
      </c>
      <c r="L3" s="84" t="s">
        <v>210</v>
      </c>
      <c r="N3" s="62">
        <v>0.91839999999999999</v>
      </c>
      <c r="O3" s="8" t="s">
        <v>199</v>
      </c>
    </row>
    <row r="4" spans="1:16" s="58" customFormat="1" ht="57.6" x14ac:dyDescent="0.3">
      <c r="A4" s="99" t="s">
        <v>167</v>
      </c>
      <c r="B4" s="61">
        <f>SUMIFS('Form 1.1c'!J:J, 'Form 1.1c'!$B:$B, "Surprise Valley Electrification Corporation")*1000</f>
        <v>115000</v>
      </c>
      <c r="C4" s="61">
        <f>SUMIFS('Form 1.1c'!K:K, 'Form 1.1c'!$B:$B, "Surprise Valley Electrification Corporation")*1000</f>
        <v>116000</v>
      </c>
      <c r="D4" s="61">
        <f>SUMIFS('Form 1.1c'!L:L, 'Form 1.1c'!$B:$B, "Surprise Valley Electrification Corporation")*1000</f>
        <v>117000</v>
      </c>
      <c r="E4" s="61">
        <f>SUMIFS('Form 1.1c'!M:M, 'Form 1.1c'!$B:$B, "Surprise Valley Electrification Corporation")*1000</f>
        <v>118000</v>
      </c>
      <c r="F4" s="61">
        <f>SUMIFS('Form 1.1c'!N:N, 'Form 1.1c'!$B:$B, "Surprise Valley Electrification Corporation")*1000</f>
        <v>119000</v>
      </c>
      <c r="G4" s="61">
        <f>SUMIFS('Form 1.1c'!O:O, 'Form 1.1c'!$B:$B, "Surprise Valley Electrification Corporation")*1000</f>
        <v>119000</v>
      </c>
      <c r="H4" s="65">
        <f>AVERAGE(E4:G4)*(1+$N$8)</f>
        <v>119537.85224746284</v>
      </c>
      <c r="I4" s="61">
        <f t="shared" si="0"/>
        <v>120415.43359496846</v>
      </c>
      <c r="J4" s="61">
        <f t="shared" si="0"/>
        <v>121299.45766339477</v>
      </c>
      <c r="K4" s="61">
        <f t="shared" si="0"/>
        <v>122189.9717516651</v>
      </c>
      <c r="L4" s="84" t="s">
        <v>211</v>
      </c>
      <c r="N4" s="68">
        <f>0.15</f>
        <v>0.15</v>
      </c>
      <c r="O4" s="84" t="s">
        <v>165</v>
      </c>
    </row>
    <row r="5" spans="1:16" s="58" customFormat="1" ht="28.8" x14ac:dyDescent="0.3">
      <c r="A5" s="99" t="s">
        <v>191</v>
      </c>
      <c r="B5" s="61">
        <f>IF(0&lt;(B3-B4)/B3,B4,B3*(1-$N$5))</f>
        <v>115000</v>
      </c>
      <c r="C5" s="61">
        <f t="shared" ref="C5:K5" si="1">IF(0&lt;(C3-C4)/C3,C4,C3*(1-$N$5))</f>
        <v>116000</v>
      </c>
      <c r="D5" s="61">
        <f t="shared" si="1"/>
        <v>117000</v>
      </c>
      <c r="E5" s="61">
        <f t="shared" si="1"/>
        <v>118000</v>
      </c>
      <c r="F5" s="61">
        <f t="shared" si="1"/>
        <v>119000</v>
      </c>
      <c r="G5" s="61">
        <f t="shared" si="1"/>
        <v>119000</v>
      </c>
      <c r="H5" s="61">
        <f t="shared" si="1"/>
        <v>119537.85224746284</v>
      </c>
      <c r="I5" s="61">
        <f t="shared" si="1"/>
        <v>120415.43359496846</v>
      </c>
      <c r="J5" s="61">
        <f t="shared" si="1"/>
        <v>121299.45766339477</v>
      </c>
      <c r="K5" s="61">
        <f t="shared" si="1"/>
        <v>122189.9717516651</v>
      </c>
      <c r="L5" s="84" t="s">
        <v>271</v>
      </c>
      <c r="N5" s="68">
        <f>0.07</f>
        <v>7.0000000000000007E-2</v>
      </c>
      <c r="O5" s="84" t="s">
        <v>275</v>
      </c>
    </row>
    <row r="6" spans="1:16"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6" s="58" customFormat="1" x14ac:dyDescent="0.3">
      <c r="A7" s="99" t="s">
        <v>169</v>
      </c>
      <c r="B7" s="61">
        <v>0</v>
      </c>
      <c r="C7" s="61">
        <v>0</v>
      </c>
      <c r="D7" s="61">
        <v>0</v>
      </c>
      <c r="E7" s="61">
        <v>0</v>
      </c>
      <c r="F7" s="61">
        <v>0</v>
      </c>
      <c r="G7" s="61">
        <v>0</v>
      </c>
      <c r="H7" s="61">
        <v>0</v>
      </c>
      <c r="I7" s="61">
        <v>0</v>
      </c>
      <c r="J7" s="61">
        <v>0</v>
      </c>
      <c r="K7" s="61">
        <v>0</v>
      </c>
      <c r="L7" s="112" t="s">
        <v>228</v>
      </c>
      <c r="O7" s="101"/>
    </row>
    <row r="8" spans="1:16" s="58" customFormat="1" x14ac:dyDescent="0.3">
      <c r="A8" s="99" t="s">
        <v>170</v>
      </c>
      <c r="B8" s="61">
        <v>122000</v>
      </c>
      <c r="C8" s="65">
        <f>B8</f>
        <v>122000</v>
      </c>
      <c r="D8" s="65">
        <f t="shared" ref="D8:K8" si="2">C8</f>
        <v>122000</v>
      </c>
      <c r="E8" s="65">
        <f t="shared" si="2"/>
        <v>122000</v>
      </c>
      <c r="F8" s="65">
        <f t="shared" si="2"/>
        <v>122000</v>
      </c>
      <c r="G8" s="65">
        <f t="shared" si="2"/>
        <v>122000</v>
      </c>
      <c r="H8" s="65">
        <f t="shared" si="2"/>
        <v>122000</v>
      </c>
      <c r="I8" s="65">
        <f t="shared" si="2"/>
        <v>122000</v>
      </c>
      <c r="J8" s="65">
        <f t="shared" si="2"/>
        <v>122000</v>
      </c>
      <c r="K8" s="65">
        <f t="shared" si="2"/>
        <v>122000</v>
      </c>
      <c r="L8" s="84" t="s">
        <v>236</v>
      </c>
      <c r="N8" s="64">
        <v>7.3414515235632472E-3</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34500</v>
      </c>
      <c r="C10" s="61">
        <f t="shared" ref="C10:K10" si="3">C5*C9</f>
        <v>35960</v>
      </c>
      <c r="D10" s="61">
        <f t="shared" si="3"/>
        <v>38610</v>
      </c>
      <c r="E10" s="61">
        <f t="shared" si="3"/>
        <v>41300</v>
      </c>
      <c r="F10" s="61">
        <f t="shared" si="3"/>
        <v>44030</v>
      </c>
      <c r="G10" s="61">
        <f t="shared" si="3"/>
        <v>45220</v>
      </c>
      <c r="H10" s="61">
        <f t="shared" si="3"/>
        <v>47815.140898985141</v>
      </c>
      <c r="I10" s="61">
        <f t="shared" si="3"/>
        <v>50574.482109886754</v>
      </c>
      <c r="J10" s="61">
        <f t="shared" si="3"/>
        <v>52158.766795259755</v>
      </c>
      <c r="K10" s="61">
        <f t="shared" si="3"/>
        <v>54985.487288249293</v>
      </c>
      <c r="L10" s="84" t="s">
        <v>376</v>
      </c>
      <c r="N10" s="122"/>
      <c r="O10" s="60"/>
    </row>
    <row r="11" spans="1:16" s="58" customFormat="1" ht="28.8" x14ac:dyDescent="0.3">
      <c r="A11" s="99" t="s">
        <v>172</v>
      </c>
      <c r="B11" s="61">
        <f t="shared" ref="B11:K11" si="4">MAX(B3-SUM(B6:B8,B10), B3*$N$6)</f>
        <v>6361.4871397299876</v>
      </c>
      <c r="C11" s="61">
        <f t="shared" si="4"/>
        <v>6408.189689184087</v>
      </c>
      <c r="D11" s="61">
        <f t="shared" si="4"/>
        <v>6455.235103141029</v>
      </c>
      <c r="E11" s="61">
        <f t="shared" si="4"/>
        <v>6502.6258987239426</v>
      </c>
      <c r="F11" s="61">
        <f t="shared" si="4"/>
        <v>6550.3646115352913</v>
      </c>
      <c r="G11" s="61">
        <f t="shared" si="4"/>
        <v>6598.4537957925413</v>
      </c>
      <c r="H11" s="61">
        <f t="shared" si="4"/>
        <v>6646.8960244648233</v>
      </c>
      <c r="I11" s="61">
        <f t="shared" si="4"/>
        <v>6695.6938894105979</v>
      </c>
      <c r="J11" s="61">
        <f t="shared" si="4"/>
        <v>6744.8500015163245</v>
      </c>
      <c r="K11" s="61">
        <f t="shared" si="4"/>
        <v>6794.3669908361617</v>
      </c>
      <c r="L11" s="84" t="s">
        <v>203</v>
      </c>
    </row>
    <row r="12" spans="1:16" s="58" customFormat="1" ht="43.8" x14ac:dyDescent="0.35">
      <c r="A12" s="99" t="s">
        <v>194</v>
      </c>
      <c r="B12" s="61">
        <f t="shared" ref="B12:K12" si="5">B6*$N$3+B11*$N$2</f>
        <v>2769.7915006384364</v>
      </c>
      <c r="C12" s="61">
        <f t="shared" si="5"/>
        <v>2790.1257906707515</v>
      </c>
      <c r="D12" s="61">
        <f t="shared" si="5"/>
        <v>2810.6093639076039</v>
      </c>
      <c r="E12" s="61">
        <f t="shared" si="5"/>
        <v>2831.2433163044047</v>
      </c>
      <c r="F12" s="61">
        <f t="shared" si="5"/>
        <v>2852.0287518624659</v>
      </c>
      <c r="G12" s="61">
        <f t="shared" si="5"/>
        <v>2872.9667826880727</v>
      </c>
      <c r="H12" s="61">
        <f t="shared" si="5"/>
        <v>2894.0585290519844</v>
      </c>
      <c r="I12" s="61">
        <f t="shared" si="5"/>
        <v>2915.3051194493742</v>
      </c>
      <c r="J12" s="61">
        <f t="shared" si="5"/>
        <v>2936.7076906602078</v>
      </c>
      <c r="K12" s="61">
        <f t="shared" si="5"/>
        <v>2958.267387810065</v>
      </c>
      <c r="L12" s="102" t="s">
        <v>204</v>
      </c>
    </row>
    <row r="13" spans="1:16" s="58" customFormat="1" ht="72" x14ac:dyDescent="0.3">
      <c r="A13" s="99"/>
      <c r="B13" s="204" t="s">
        <v>205</v>
      </c>
      <c r="C13" s="205"/>
      <c r="D13" s="205"/>
      <c r="E13" s="205"/>
      <c r="F13" s="205"/>
      <c r="G13" s="205"/>
      <c r="H13" s="205"/>
      <c r="I13" s="205"/>
      <c r="J13" s="206"/>
      <c r="K13" s="83">
        <v>0</v>
      </c>
      <c r="L13" s="102" t="s">
        <v>368</v>
      </c>
    </row>
    <row r="14" spans="1:16" s="58" customFormat="1" ht="30" x14ac:dyDescent="0.35">
      <c r="A14" s="99" t="s">
        <v>195</v>
      </c>
      <c r="B14" s="80">
        <f t="shared" ref="B14:K14" si="6">B12/B3</f>
        <v>2.1770000000000001E-2</v>
      </c>
      <c r="C14" s="80">
        <f t="shared" si="6"/>
        <v>2.1770000000000001E-2</v>
      </c>
      <c r="D14" s="80">
        <f t="shared" si="6"/>
        <v>2.1769999999999998E-2</v>
      </c>
      <c r="E14" s="80">
        <f t="shared" si="6"/>
        <v>2.1770000000000001E-2</v>
      </c>
      <c r="F14" s="80">
        <f t="shared" si="6"/>
        <v>2.1770000000000001E-2</v>
      </c>
      <c r="G14" s="80">
        <f t="shared" si="6"/>
        <v>2.1770000000000005E-2</v>
      </c>
      <c r="H14" s="80">
        <f t="shared" si="6"/>
        <v>2.1770000000000001E-2</v>
      </c>
      <c r="I14" s="80">
        <f t="shared" si="6"/>
        <v>2.1770000000000001E-2</v>
      </c>
      <c r="J14" s="80">
        <f t="shared" si="6"/>
        <v>2.1770000000000001E-2</v>
      </c>
      <c r="K14" s="80">
        <f t="shared" si="6"/>
        <v>2.1770000000000005E-2</v>
      </c>
      <c r="L14" s="84" t="s">
        <v>206</v>
      </c>
    </row>
    <row r="15" spans="1:16"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c r="N15"/>
      <c r="O15"/>
    </row>
    <row r="16" spans="1:16" ht="29.4" thickBot="1" x14ac:dyDescent="0.35">
      <c r="A16" s="179" t="s">
        <v>197</v>
      </c>
      <c r="B16" s="81">
        <f t="shared" ref="B16:K16" si="8">B12-B15</f>
        <v>2769.7915006384364</v>
      </c>
      <c r="C16" s="81">
        <f t="shared" si="8"/>
        <v>2790.1257906707515</v>
      </c>
      <c r="D16" s="81">
        <f t="shared" si="8"/>
        <v>2810.6093639076039</v>
      </c>
      <c r="E16" s="81">
        <f t="shared" si="8"/>
        <v>2831.2433163044047</v>
      </c>
      <c r="F16" s="81">
        <f t="shared" si="8"/>
        <v>2852.0287518624659</v>
      </c>
      <c r="G16" s="81">
        <f t="shared" si="8"/>
        <v>2872.9667826880727</v>
      </c>
      <c r="H16" s="81">
        <f t="shared" si="8"/>
        <v>2894.0585290519844</v>
      </c>
      <c r="I16" s="81">
        <f t="shared" si="8"/>
        <v>2915.3051194493742</v>
      </c>
      <c r="J16" s="81">
        <f t="shared" si="8"/>
        <v>2936.7076906602078</v>
      </c>
      <c r="K16" s="81">
        <f t="shared" si="8"/>
        <v>2958.267387810065</v>
      </c>
      <c r="L16" s="88" t="s">
        <v>265</v>
      </c>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25</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167511.835939938</v>
      </c>
      <c r="C3" s="65">
        <f>B3*(1+$N$8)</f>
        <v>168739.11928676011</v>
      </c>
      <c r="D3" s="65">
        <f>C3*(1+$N$8)</f>
        <v>169975.39438276182</v>
      </c>
      <c r="E3" s="65">
        <f>D3*(1+$N$8)</f>
        <v>171220.72710641651</v>
      </c>
      <c r="F3" s="65">
        <f>E3*(1+$N$8)</f>
        <v>172475.18381885934</v>
      </c>
      <c r="G3" s="65">
        <f>F3*(1+$N$8)</f>
        <v>173738.83136742338</v>
      </c>
      <c r="H3" s="65">
        <f t="shared" ref="H3:K4" si="0">G3*(1+$N$8)</f>
        <v>175011.7370892019</v>
      </c>
      <c r="I3" s="65">
        <f t="shared" si="0"/>
        <v>176293.96881463649</v>
      </c>
      <c r="J3" s="65">
        <f t="shared" si="0"/>
        <v>177585.59487113173</v>
      </c>
      <c r="K3" s="65">
        <f t="shared" si="0"/>
        <v>178886.68408669607</v>
      </c>
      <c r="L3" s="84" t="s">
        <v>208</v>
      </c>
      <c r="N3" s="62">
        <v>0.91839999999999999</v>
      </c>
      <c r="O3" s="8" t="s">
        <v>199</v>
      </c>
    </row>
    <row r="4" spans="1:18" s="58" customFormat="1" ht="57.6" x14ac:dyDescent="0.3">
      <c r="A4" s="99" t="s">
        <v>167</v>
      </c>
      <c r="B4" s="61">
        <f>SUMIFS('Form 1.1c'!J:J, 'Form 1.1c'!$B:$B, "Truckee-Donner Public Utility District")*1000</f>
        <v>150000</v>
      </c>
      <c r="C4" s="61">
        <f>SUMIFS('Form 1.1c'!K:K, 'Form 1.1c'!$B:$B, "Truckee-Donner Public Utility District")*1000</f>
        <v>151000</v>
      </c>
      <c r="D4" s="61">
        <f>SUMIFS('Form 1.1c'!L:L, 'Form 1.1c'!$B:$B, "Truckee-Donner Public Utility District")*1000</f>
        <v>152000</v>
      </c>
      <c r="E4" s="61">
        <f>SUMIFS('Form 1.1c'!M:M, 'Form 1.1c'!$B:$B, "Truckee-Donner Public Utility District")*1000</f>
        <v>153000</v>
      </c>
      <c r="F4" s="61">
        <f>SUMIFS('Form 1.1c'!N:N, 'Form 1.1c'!$B:$B, "Truckee-Donner Public Utility District")*1000</f>
        <v>154000</v>
      </c>
      <c r="G4" s="61">
        <f>SUMIFS('Form 1.1c'!O:O, 'Form 1.1c'!$B:$B, "Truckee-Donner Public Utility District")*1000</f>
        <v>155000</v>
      </c>
      <c r="H4" s="65">
        <f>AVERAGE(E4:G4)*(1+$N$8)</f>
        <v>155128.28824512658</v>
      </c>
      <c r="I4" s="61">
        <f t="shared" si="0"/>
        <v>156264.84294716283</v>
      </c>
      <c r="J4" s="61">
        <f t="shared" si="0"/>
        <v>157409.72467069421</v>
      </c>
      <c r="K4" s="61">
        <f t="shared" si="0"/>
        <v>158562.99442403548</v>
      </c>
      <c r="L4" s="84" t="s">
        <v>211</v>
      </c>
      <c r="N4" s="68">
        <f>0.15</f>
        <v>0.15</v>
      </c>
      <c r="O4" s="84" t="s">
        <v>165</v>
      </c>
    </row>
    <row r="5" spans="1:18" s="58" customFormat="1" ht="28.8" x14ac:dyDescent="0.3">
      <c r="A5" s="99" t="s">
        <v>191</v>
      </c>
      <c r="B5" s="61">
        <f>IF(0&lt;(B3-B4)/B3,B4,B3*(1-$N$5))</f>
        <v>150000</v>
      </c>
      <c r="C5" s="61">
        <f t="shared" ref="C5:K5" si="1">IF(0&lt;(C3-C4)/C3,C4,C3*(1-$N$5))</f>
        <v>151000</v>
      </c>
      <c r="D5" s="61">
        <f t="shared" si="1"/>
        <v>152000</v>
      </c>
      <c r="E5" s="61">
        <f t="shared" si="1"/>
        <v>153000</v>
      </c>
      <c r="F5" s="61">
        <f t="shared" si="1"/>
        <v>154000</v>
      </c>
      <c r="G5" s="61">
        <f t="shared" si="1"/>
        <v>155000</v>
      </c>
      <c r="H5" s="61">
        <f t="shared" si="1"/>
        <v>155128.28824512658</v>
      </c>
      <c r="I5" s="61">
        <f t="shared" si="1"/>
        <v>156264.84294716283</v>
      </c>
      <c r="J5" s="61">
        <f t="shared" si="1"/>
        <v>157409.72467069421</v>
      </c>
      <c r="K5" s="61">
        <f t="shared" si="1"/>
        <v>158562.99442403548</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7.3265470462764437E-3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45000</v>
      </c>
      <c r="C10" s="61">
        <f t="shared" ref="C10:K10" si="2">C5*C9</f>
        <v>46810</v>
      </c>
      <c r="D10" s="61">
        <f t="shared" si="2"/>
        <v>50160</v>
      </c>
      <c r="E10" s="61">
        <f t="shared" si="2"/>
        <v>53550</v>
      </c>
      <c r="F10" s="61">
        <f t="shared" si="2"/>
        <v>56980</v>
      </c>
      <c r="G10" s="61">
        <f t="shared" si="2"/>
        <v>58900</v>
      </c>
      <c r="H10" s="61">
        <f t="shared" si="2"/>
        <v>62051.315298050635</v>
      </c>
      <c r="I10" s="61">
        <f t="shared" si="2"/>
        <v>65631.23403780839</v>
      </c>
      <c r="J10" s="61">
        <f t="shared" si="2"/>
        <v>67686.181608398503</v>
      </c>
      <c r="K10" s="61">
        <f t="shared" si="2"/>
        <v>71353.34749081597</v>
      </c>
      <c r="L10" s="84" t="s">
        <v>376</v>
      </c>
      <c r="N10" s="122"/>
      <c r="O10" s="60"/>
    </row>
    <row r="11" spans="1:18" s="58" customFormat="1" ht="28.8" x14ac:dyDescent="0.3">
      <c r="A11" s="99" t="s">
        <v>172</v>
      </c>
      <c r="B11" s="61">
        <f t="shared" ref="B11:K11" si="3">MAX(B3-SUM(B6:B8,B10), B3*$N$6)</f>
        <v>122511.835939938</v>
      </c>
      <c r="C11" s="61">
        <f t="shared" si="3"/>
        <v>121929.11928676011</v>
      </c>
      <c r="D11" s="61">
        <f t="shared" si="3"/>
        <v>119815.39438276182</v>
      </c>
      <c r="E11" s="61">
        <f t="shared" si="3"/>
        <v>117670.72710641651</v>
      </c>
      <c r="F11" s="61">
        <f t="shared" si="3"/>
        <v>115495.18381885934</v>
      </c>
      <c r="G11" s="61">
        <f t="shared" si="3"/>
        <v>114838.83136742338</v>
      </c>
      <c r="H11" s="61">
        <f t="shared" si="3"/>
        <v>112960.42179115125</v>
      </c>
      <c r="I11" s="61">
        <f t="shared" si="3"/>
        <v>110662.7347768281</v>
      </c>
      <c r="J11" s="61">
        <f t="shared" si="3"/>
        <v>109899.41326273323</v>
      </c>
      <c r="K11" s="61">
        <f t="shared" si="3"/>
        <v>107533.3365958801</v>
      </c>
      <c r="L11" s="84" t="s">
        <v>203</v>
      </c>
    </row>
    <row r="12" spans="1:18" s="58" customFormat="1" ht="43.8" x14ac:dyDescent="0.35">
      <c r="A12" s="99" t="s">
        <v>194</v>
      </c>
      <c r="B12" s="61">
        <f t="shared" ref="B12:K12" si="4">B6*$N$3+B11*$N$2</f>
        <v>53341.653368249004</v>
      </c>
      <c r="C12" s="61">
        <f t="shared" si="4"/>
        <v>53087.938537455353</v>
      </c>
      <c r="D12" s="61">
        <f t="shared" si="4"/>
        <v>52167.622714254496</v>
      </c>
      <c r="E12" s="61">
        <f t="shared" si="4"/>
        <v>51233.83458213375</v>
      </c>
      <c r="F12" s="61">
        <f t="shared" si="4"/>
        <v>50286.603034731357</v>
      </c>
      <c r="G12" s="61">
        <f t="shared" si="4"/>
        <v>50000.827177376137</v>
      </c>
      <c r="H12" s="61">
        <f t="shared" si="4"/>
        <v>49182.967647867255</v>
      </c>
      <c r="I12" s="61">
        <f t="shared" si="4"/>
        <v>48182.554721830958</v>
      </c>
      <c r="J12" s="61">
        <f t="shared" si="4"/>
        <v>47850.20453459405</v>
      </c>
      <c r="K12" s="61">
        <f t="shared" si="4"/>
        <v>46820.014753846197</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5">B12/B3</f>
        <v>0.31843513068160062</v>
      </c>
      <c r="C14" s="80">
        <f t="shared" si="5"/>
        <v>0.3146154772044068</v>
      </c>
      <c r="D14" s="80">
        <f t="shared" si="5"/>
        <v>0.30691279113481568</v>
      </c>
      <c r="E14" s="80">
        <f t="shared" si="5"/>
        <v>0.29922682520960836</v>
      </c>
      <c r="F14" s="80">
        <f t="shared" si="5"/>
        <v>0.29155848349490354</v>
      </c>
      <c r="G14" s="80">
        <f t="shared" si="5"/>
        <v>0.28779304421378454</v>
      </c>
      <c r="H14" s="80">
        <f t="shared" si="5"/>
        <v>0.28102668121509555</v>
      </c>
      <c r="I14" s="80">
        <f t="shared" si="5"/>
        <v>0.27330801527585036</v>
      </c>
      <c r="J14" s="80">
        <f t="shared" si="5"/>
        <v>0.26944868230622782</v>
      </c>
      <c r="K14" s="80">
        <f t="shared" si="5"/>
        <v>0.26173001636698251</v>
      </c>
      <c r="L14" s="84" t="s">
        <v>206</v>
      </c>
    </row>
    <row r="15" spans="1:18" s="58" customFormat="1" ht="30.6" thickBot="1" x14ac:dyDescent="0.4">
      <c r="A15" s="99" t="s">
        <v>196</v>
      </c>
      <c r="B15" s="79">
        <f>$K$13*B14</f>
        <v>0</v>
      </c>
      <c r="C15" s="79">
        <f t="shared" ref="C15:K15" si="6">$K$13*C14</f>
        <v>0</v>
      </c>
      <c r="D15" s="79">
        <f t="shared" si="6"/>
        <v>0</v>
      </c>
      <c r="E15" s="79">
        <f t="shared" si="6"/>
        <v>0</v>
      </c>
      <c r="F15" s="79">
        <f t="shared" si="6"/>
        <v>0</v>
      </c>
      <c r="G15" s="79">
        <f t="shared" si="6"/>
        <v>0</v>
      </c>
      <c r="H15" s="79">
        <f t="shared" si="6"/>
        <v>0</v>
      </c>
      <c r="I15" s="79">
        <f t="shared" si="6"/>
        <v>0</v>
      </c>
      <c r="J15" s="79">
        <f t="shared" si="6"/>
        <v>0</v>
      </c>
      <c r="K15" s="79">
        <f t="shared" si="6"/>
        <v>0</v>
      </c>
      <c r="L15" s="84" t="s">
        <v>250</v>
      </c>
    </row>
    <row r="16" spans="1:18" ht="29.4" thickBot="1" x14ac:dyDescent="0.35">
      <c r="A16" s="179" t="s">
        <v>197</v>
      </c>
      <c r="B16" s="81">
        <f t="shared" ref="B16:K16" si="7">B12-B15</f>
        <v>53341.653368249004</v>
      </c>
      <c r="C16" s="81">
        <f t="shared" si="7"/>
        <v>53087.938537455353</v>
      </c>
      <c r="D16" s="81">
        <f t="shared" si="7"/>
        <v>52167.622714254496</v>
      </c>
      <c r="E16" s="81">
        <f t="shared" si="7"/>
        <v>51233.83458213375</v>
      </c>
      <c r="F16" s="81">
        <f t="shared" si="7"/>
        <v>50286.603034731357</v>
      </c>
      <c r="G16" s="81">
        <f t="shared" si="7"/>
        <v>50000.827177376137</v>
      </c>
      <c r="H16" s="81">
        <f t="shared" si="7"/>
        <v>49182.967647867255</v>
      </c>
      <c r="I16" s="81">
        <f t="shared" si="7"/>
        <v>48182.554721830958</v>
      </c>
      <c r="J16" s="81">
        <f t="shared" si="7"/>
        <v>47850.20453459405</v>
      </c>
      <c r="K16" s="81">
        <f t="shared" si="7"/>
        <v>46820.014753846197</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 min="16" max="17" width="12" customWidth="1"/>
    <col min="18" max="18" width="11.33203125" customWidth="1"/>
    <col min="19" max="19" width="14.33203125" customWidth="1"/>
    <col min="20" max="20" width="10.6640625" bestFit="1" customWidth="1"/>
  </cols>
  <sheetData>
    <row r="1" spans="1:18" s="58" customFormat="1" ht="15.6" x14ac:dyDescent="0.3">
      <c r="A1" s="97" t="s">
        <v>33</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1.5a'!$B:$B, "Turlock Irrigation District")*1000</f>
        <v>2258000</v>
      </c>
      <c r="C3" s="61">
        <f>SUMIFS('Form 1.5a'!K:K, 'Form 1.5a'!$B:$B, "Turlock Irrigation District")*1000</f>
        <v>2282000</v>
      </c>
      <c r="D3" s="61">
        <f>SUMIFS('Form 1.5a'!L:L, 'Form 1.5a'!$B:$B, "Turlock Irrigation District")*1000</f>
        <v>2308000</v>
      </c>
      <c r="E3" s="61">
        <f>SUMIFS('Form 1.5a'!M:M, 'Form 1.5a'!$B:$B, "Turlock Irrigation District")*1000</f>
        <v>2332000</v>
      </c>
      <c r="F3" s="61">
        <f>SUMIFS('Form 1.5a'!N:N, 'Form 1.5a'!$B:$B, "Turlock Irrigation District")*1000</f>
        <v>2354000</v>
      </c>
      <c r="G3" s="61">
        <f>SUMIFS('Form 1.5a'!O:O, 'Form 1.5a'!$B:$B, "Turlock Irrigation District")*1000</f>
        <v>2378000</v>
      </c>
      <c r="H3" s="65">
        <f>AVERAGE(E3:G3)*(1+$N$8)</f>
        <v>2379660.9709949605</v>
      </c>
      <c r="I3" s="65">
        <f t="shared" ref="I3:K4" si="0">H3*(1+$N$8)</f>
        <v>2404920.5847437764</v>
      </c>
      <c r="J3" s="65">
        <f t="shared" si="0"/>
        <v>2430448.3241182659</v>
      </c>
      <c r="K3" s="65">
        <f t="shared" si="0"/>
        <v>2456247.0352170216</v>
      </c>
      <c r="L3" s="84" t="s">
        <v>209</v>
      </c>
      <c r="N3" s="62">
        <v>0.91839999999999999</v>
      </c>
      <c r="O3" s="8" t="s">
        <v>199</v>
      </c>
    </row>
    <row r="4" spans="1:18" s="58" customFormat="1" ht="57.6" x14ac:dyDescent="0.3">
      <c r="A4" s="99" t="s">
        <v>167</v>
      </c>
      <c r="B4" s="61">
        <f>SUMIFS('Form 1.1c'!J:J, 'Form 1.1c'!$B:$B, "Turlock Irrigation District")*1000</f>
        <v>2123000</v>
      </c>
      <c r="C4" s="61">
        <f>SUMIFS('Form 1.1c'!K:K, 'Form 1.1c'!$B:$B, "Turlock Irrigation District")*1000</f>
        <v>2146000</v>
      </c>
      <c r="D4" s="61">
        <f>SUMIFS('Form 1.1c'!L:L, 'Form 1.1c'!$B:$B, "Turlock Irrigation District")*1000</f>
        <v>2170000</v>
      </c>
      <c r="E4" s="61">
        <f>SUMIFS('Form 1.1c'!M:M, 'Form 1.1c'!$B:$B, "Turlock Irrigation District")*1000</f>
        <v>2193000</v>
      </c>
      <c r="F4" s="61">
        <f>SUMIFS('Form 1.1c'!N:N, 'Form 1.1c'!$B:$B, "Turlock Irrigation District")*1000</f>
        <v>2214000</v>
      </c>
      <c r="G4" s="61">
        <f>SUMIFS('Form 1.1c'!O:O, 'Form 1.1c'!$B:$B, "Turlock Irrigation District")*1000</f>
        <v>2237000</v>
      </c>
      <c r="H4" s="65">
        <f>AVERAGE(E4:G4)*(1+$N$8)</f>
        <v>2238174.8996730628</v>
      </c>
      <c r="I4" s="61">
        <f t="shared" si="0"/>
        <v>2261932.6677573114</v>
      </c>
      <c r="J4" s="61">
        <f t="shared" si="0"/>
        <v>2285942.6196831474</v>
      </c>
      <c r="K4" s="61">
        <f t="shared" si="0"/>
        <v>2310207.4323303918</v>
      </c>
      <c r="L4" s="84" t="s">
        <v>211</v>
      </c>
      <c r="N4" s="68">
        <f>0.15</f>
        <v>0.15</v>
      </c>
      <c r="O4" s="84" t="s">
        <v>165</v>
      </c>
    </row>
    <row r="5" spans="1:18" s="58" customFormat="1" ht="28.8" x14ac:dyDescent="0.3">
      <c r="A5" s="99" t="s">
        <v>191</v>
      </c>
      <c r="B5" s="61">
        <f>IF(0&lt;(B3-B4)/B3,B4,B3*(1-$N$5))</f>
        <v>2123000</v>
      </c>
      <c r="C5" s="61">
        <f t="shared" ref="C5:K5" si="1">IF(0&lt;(C3-C4)/C3,C4,C3*(1-$N$5))</f>
        <v>2146000</v>
      </c>
      <c r="D5" s="61">
        <f t="shared" si="1"/>
        <v>2170000</v>
      </c>
      <c r="E5" s="61">
        <f t="shared" si="1"/>
        <v>2193000</v>
      </c>
      <c r="F5" s="61">
        <f t="shared" si="1"/>
        <v>2214000</v>
      </c>
      <c r="G5" s="61">
        <f t="shared" si="1"/>
        <v>2237000</v>
      </c>
      <c r="H5" s="61">
        <f t="shared" si="1"/>
        <v>2238174.8996730628</v>
      </c>
      <c r="I5" s="61">
        <f t="shared" si="1"/>
        <v>2261932.6677573114</v>
      </c>
      <c r="J5" s="61">
        <f t="shared" si="1"/>
        <v>2285942.6196831474</v>
      </c>
      <c r="K5" s="61">
        <f t="shared" si="1"/>
        <v>2310207.4323303918</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223</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224</v>
      </c>
      <c r="O7" s="101"/>
    </row>
    <row r="8" spans="1:18" s="58" customFormat="1" ht="28.8" x14ac:dyDescent="0.3">
      <c r="A8" s="99" t="s">
        <v>170</v>
      </c>
      <c r="B8" s="65">
        <v>500821.19783011364</v>
      </c>
      <c r="C8" s="65">
        <v>499267.50356602599</v>
      </c>
      <c r="D8" s="65">
        <v>497730.29369082447</v>
      </c>
      <c r="E8" s="65">
        <v>496293.09728022548</v>
      </c>
      <c r="F8" s="61">
        <f>AVERAGE(C8:E8)</f>
        <v>497763.63151235861</v>
      </c>
      <c r="G8" s="61">
        <f>F8</f>
        <v>497763.63151235861</v>
      </c>
      <c r="H8" s="61">
        <f t="shared" ref="H8:K8" si="2">G8</f>
        <v>497763.63151235861</v>
      </c>
      <c r="I8" s="61">
        <f t="shared" si="2"/>
        <v>497763.63151235861</v>
      </c>
      <c r="J8" s="61">
        <f t="shared" si="2"/>
        <v>497763.63151235861</v>
      </c>
      <c r="K8" s="61">
        <f t="shared" si="2"/>
        <v>497763.63151235861</v>
      </c>
      <c r="L8" s="84" t="s">
        <v>230</v>
      </c>
      <c r="N8" s="64">
        <v>1.0614795156410173E-2</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636900</v>
      </c>
      <c r="C10" s="61">
        <f t="shared" ref="C10:K10" si="3">C5*C9</f>
        <v>665260</v>
      </c>
      <c r="D10" s="61">
        <f t="shared" si="3"/>
        <v>716100</v>
      </c>
      <c r="E10" s="61">
        <f t="shared" si="3"/>
        <v>767550</v>
      </c>
      <c r="F10" s="61">
        <f t="shared" si="3"/>
        <v>819180</v>
      </c>
      <c r="G10" s="61">
        <f t="shared" si="3"/>
        <v>850060</v>
      </c>
      <c r="H10" s="61">
        <f t="shared" si="3"/>
        <v>895269.95986922516</v>
      </c>
      <c r="I10" s="61">
        <f t="shared" si="3"/>
        <v>950011.72045807075</v>
      </c>
      <c r="J10" s="61">
        <f t="shared" si="3"/>
        <v>982955.32646375336</v>
      </c>
      <c r="K10" s="61">
        <f t="shared" si="3"/>
        <v>1039593.3445486764</v>
      </c>
      <c r="L10" s="84" t="s">
        <v>376</v>
      </c>
      <c r="N10" s="122"/>
      <c r="O10" s="60"/>
    </row>
    <row r="11" spans="1:18" s="58" customFormat="1" ht="28.8" x14ac:dyDescent="0.3">
      <c r="A11" s="99" t="s">
        <v>172</v>
      </c>
      <c r="B11" s="61">
        <f t="shared" ref="B11:K11" si="4">MAX(B3-SUM(B6:B8,B10), B3*$N$6)</f>
        <v>1120278.8021698864</v>
      </c>
      <c r="C11" s="61">
        <f t="shared" si="4"/>
        <v>1117472.496433974</v>
      </c>
      <c r="D11" s="61">
        <f t="shared" si="4"/>
        <v>1094169.7063091756</v>
      </c>
      <c r="E11" s="61">
        <f t="shared" si="4"/>
        <v>1068156.9027197745</v>
      </c>
      <c r="F11" s="61">
        <f t="shared" si="4"/>
        <v>1037056.3684876414</v>
      </c>
      <c r="G11" s="61">
        <f t="shared" si="4"/>
        <v>1030176.3684876414</v>
      </c>
      <c r="H11" s="61">
        <f t="shared" si="4"/>
        <v>986627.37961337669</v>
      </c>
      <c r="I11" s="61">
        <f t="shared" si="4"/>
        <v>957145.23277334706</v>
      </c>
      <c r="J11" s="61">
        <f t="shared" si="4"/>
        <v>949729.36614215397</v>
      </c>
      <c r="K11" s="61">
        <f t="shared" si="4"/>
        <v>918890.05915598664</v>
      </c>
      <c r="L11" s="84" t="s">
        <v>203</v>
      </c>
    </row>
    <row r="12" spans="1:18" s="58" customFormat="1" ht="43.8" x14ac:dyDescent="0.35">
      <c r="A12" s="99" t="s">
        <v>194</v>
      </c>
      <c r="B12" s="61">
        <f t="shared" ref="B12:K12" si="5">B6*$N$3+B11*$N$2</f>
        <v>487769.39046476857</v>
      </c>
      <c r="C12" s="61">
        <f t="shared" si="5"/>
        <v>486547.5249473523</v>
      </c>
      <c r="D12" s="61">
        <f t="shared" si="5"/>
        <v>476401.49012701504</v>
      </c>
      <c r="E12" s="61">
        <f t="shared" si="5"/>
        <v>465075.51544418983</v>
      </c>
      <c r="F12" s="61">
        <f t="shared" si="5"/>
        <v>451534.34283951909</v>
      </c>
      <c r="G12" s="61">
        <f t="shared" si="5"/>
        <v>448538.79083951912</v>
      </c>
      <c r="H12" s="61">
        <f t="shared" si="5"/>
        <v>429577.56108366424</v>
      </c>
      <c r="I12" s="61">
        <f t="shared" si="5"/>
        <v>416741.03434951534</v>
      </c>
      <c r="J12" s="61">
        <f t="shared" si="5"/>
        <v>413512.16601829382</v>
      </c>
      <c r="K12" s="61">
        <f t="shared" si="5"/>
        <v>400084.73175651662</v>
      </c>
      <c r="L12" s="102" t="s">
        <v>204</v>
      </c>
    </row>
    <row r="13" spans="1:18" s="58" customFormat="1" ht="72" x14ac:dyDescent="0.3">
      <c r="A13" s="99"/>
      <c r="B13" s="204" t="s">
        <v>205</v>
      </c>
      <c r="C13" s="205"/>
      <c r="D13" s="205"/>
      <c r="E13" s="205"/>
      <c r="F13" s="205"/>
      <c r="G13" s="205"/>
      <c r="H13" s="205"/>
      <c r="I13" s="205"/>
      <c r="J13" s="206"/>
      <c r="K13" s="177">
        <v>187302.73700000002</v>
      </c>
      <c r="L13" s="102" t="s">
        <v>368</v>
      </c>
    </row>
    <row r="14" spans="1:18" s="58" customFormat="1" ht="30" x14ac:dyDescent="0.35">
      <c r="A14" s="99" t="s">
        <v>195</v>
      </c>
      <c r="B14" s="80">
        <f t="shared" ref="B14:K14" si="6">B12/B3</f>
        <v>0.21601833058669997</v>
      </c>
      <c r="C14" s="80">
        <f t="shared" si="6"/>
        <v>0.21321101005580731</v>
      </c>
      <c r="D14" s="80">
        <f t="shared" si="6"/>
        <v>0.20641312397184361</v>
      </c>
      <c r="E14" s="80">
        <f t="shared" si="6"/>
        <v>0.19943203921277436</v>
      </c>
      <c r="F14" s="80">
        <f t="shared" si="6"/>
        <v>0.19181577860642271</v>
      </c>
      <c r="G14" s="80">
        <f t="shared" si="6"/>
        <v>0.18862018117725782</v>
      </c>
      <c r="H14" s="80">
        <f t="shared" si="6"/>
        <v>0.18052048855684408</v>
      </c>
      <c r="I14" s="80">
        <f t="shared" si="6"/>
        <v>0.17328681744969784</v>
      </c>
      <c r="J14" s="80">
        <f t="shared" si="6"/>
        <v>0.17013822590460156</v>
      </c>
      <c r="K14" s="80">
        <f t="shared" si="6"/>
        <v>0.16288456577054641</v>
      </c>
      <c r="L14" s="84" t="s">
        <v>206</v>
      </c>
    </row>
    <row r="15" spans="1:18" s="58" customFormat="1" ht="30.6" thickBot="1" x14ac:dyDescent="0.4">
      <c r="A15" s="99" t="s">
        <v>196</v>
      </c>
      <c r="B15" s="79">
        <f>$K$13*B14</f>
        <v>40460.82456105973</v>
      </c>
      <c r="C15" s="79">
        <f t="shared" ref="C15:K15" si="7">$K$13*C14</f>
        <v>39935.005741987239</v>
      </c>
      <c r="D15" s="79">
        <f t="shared" si="7"/>
        <v>38661.743072646626</v>
      </c>
      <c r="E15" s="79">
        <f t="shared" si="7"/>
        <v>37354.166790043964</v>
      </c>
      <c r="F15" s="79">
        <f t="shared" si="7"/>
        <v>35927.620332769024</v>
      </c>
      <c r="G15" s="79">
        <f t="shared" si="7"/>
        <v>35329.076187936276</v>
      </c>
      <c r="H15" s="79">
        <f t="shared" si="7"/>
        <v>33811.981591274081</v>
      </c>
      <c r="I15" s="79">
        <f t="shared" si="7"/>
        <v>32457.09519434777</v>
      </c>
      <c r="J15" s="79">
        <f t="shared" si="7"/>
        <v>31867.355380256176</v>
      </c>
      <c r="K15" s="79">
        <f t="shared" si="7"/>
        <v>30508.72498387986</v>
      </c>
      <c r="L15" s="84" t="s">
        <v>250</v>
      </c>
    </row>
    <row r="16" spans="1:18" ht="29.4" thickBot="1" x14ac:dyDescent="0.35">
      <c r="A16" s="179" t="s">
        <v>197</v>
      </c>
      <c r="B16" s="81">
        <f t="shared" ref="B16:K16" si="8">B12-B15</f>
        <v>447308.56590370886</v>
      </c>
      <c r="C16" s="81">
        <f t="shared" si="8"/>
        <v>446612.51920536504</v>
      </c>
      <c r="D16" s="81">
        <f t="shared" si="8"/>
        <v>437739.74705436843</v>
      </c>
      <c r="E16" s="81">
        <f t="shared" si="8"/>
        <v>427721.34865414584</v>
      </c>
      <c r="F16" s="81">
        <f t="shared" si="8"/>
        <v>415606.72250675008</v>
      </c>
      <c r="G16" s="81">
        <f t="shared" si="8"/>
        <v>413209.71465158282</v>
      </c>
      <c r="H16" s="81">
        <f t="shared" si="8"/>
        <v>395765.57949239016</v>
      </c>
      <c r="I16" s="81">
        <f t="shared" si="8"/>
        <v>384283.93915516755</v>
      </c>
      <c r="J16" s="81">
        <f t="shared" si="8"/>
        <v>381644.81063803763</v>
      </c>
      <c r="K16" s="81">
        <f t="shared" si="8"/>
        <v>369576.00677263679</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ht="15.6" x14ac:dyDescent="0.3">
      <c r="A18" s="82"/>
      <c r="B18" s="82"/>
      <c r="C18" s="82"/>
      <c r="D18" s="82"/>
      <c r="E18" s="82"/>
      <c r="F18" s="82"/>
      <c r="G18" s="82"/>
      <c r="H18" s="82"/>
      <c r="I18" s="82"/>
      <c r="J18" s="82"/>
      <c r="K18" s="82"/>
      <c r="N18" s="4"/>
      <c r="O18" s="4"/>
    </row>
  </sheetData>
  <mergeCells count="3">
    <mergeCell ref="B1:L1"/>
    <mergeCell ref="N1:O1"/>
    <mergeCell ref="B13:J13"/>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30</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1.5a'!$A:$A, "Valley Electric Association")*1000</f>
        <v>12000</v>
      </c>
      <c r="C3" s="61">
        <f>SUMIFS('Form 1.5a'!K:K, 'Form 1.5a'!$A:$A, "Valley Electric Association")*1000</f>
        <v>12000</v>
      </c>
      <c r="D3" s="61">
        <f>SUMIFS('Form 1.5a'!L:L, 'Form 1.5a'!$A:$A, "Valley Electric Association")*1000</f>
        <v>12000</v>
      </c>
      <c r="E3" s="61">
        <f>SUMIFS('Form 1.5a'!M:M, 'Form 1.5a'!$A:$A, "Valley Electric Association")*1000</f>
        <v>12000</v>
      </c>
      <c r="F3" s="61">
        <f>SUMIFS('Form 1.5a'!N:N, 'Form 1.5a'!$A:$A, "Valley Electric Association")*1000</f>
        <v>13000</v>
      </c>
      <c r="G3" s="61">
        <f>SUMIFS('Form 1.5a'!O:O, 'Form 1.5a'!$A:$A, "Valley Electric Association")*1000</f>
        <v>13000</v>
      </c>
      <c r="H3" s="65">
        <f>AVERAGE(E3:G3)*(1+$N$8)</f>
        <v>12844.234643437241</v>
      </c>
      <c r="I3" s="65">
        <f t="shared" ref="I3:K4" si="0">H3*(1+$N$8)</f>
        <v>13024.291861237374</v>
      </c>
      <c r="J3" s="65">
        <f t="shared" si="0"/>
        <v>13206.87321555338</v>
      </c>
      <c r="K3" s="65">
        <f t="shared" si="0"/>
        <v>13392.0140910548</v>
      </c>
      <c r="L3" s="84" t="s">
        <v>209</v>
      </c>
      <c r="N3" s="62">
        <v>0.91839999999999999</v>
      </c>
      <c r="O3" s="8" t="s">
        <v>199</v>
      </c>
    </row>
    <row r="4" spans="1:18" s="58" customFormat="1" ht="57.6" x14ac:dyDescent="0.3">
      <c r="A4" s="99" t="s">
        <v>167</v>
      </c>
      <c r="B4" s="61">
        <f>SUMIFS('Form 1.1c'!J:J, 'Form 1.1c'!$B:$B, "Valley Electric Association, Inc.")*1000</f>
        <v>11000</v>
      </c>
      <c r="C4" s="61">
        <f>SUMIFS('Form 1.1c'!K:K, 'Form 1.1c'!$B:$B, "Valley Electric Association, Inc.")*1000</f>
        <v>11000</v>
      </c>
      <c r="D4" s="61">
        <f>SUMIFS('Form 1.1c'!L:L, 'Form 1.1c'!$B:$B, "Valley Electric Association, Inc.")*1000</f>
        <v>12000</v>
      </c>
      <c r="E4" s="61">
        <f>SUMIFS('Form 1.1c'!M:M, 'Form 1.1c'!$B:$B, "Valley Electric Association, Inc.")*1000</f>
        <v>12000</v>
      </c>
      <c r="F4" s="61">
        <f>SUMIFS('Form 1.1c'!N:N, 'Form 1.1c'!$B:$B, "Valley Electric Association, Inc.")*1000</f>
        <v>12000</v>
      </c>
      <c r="G4" s="61">
        <f>SUMIFS('Form 1.1c'!O:O, 'Form 1.1c'!$B:$B, "Valley Electric Association, Inc.")*1000</f>
        <v>12000</v>
      </c>
      <c r="H4" s="65">
        <f>AVERAGE(E4:G4)*(1+$N$8)</f>
        <v>12168.22229378265</v>
      </c>
      <c r="I4" s="61">
        <f t="shared" si="0"/>
        <v>12338.802815909092</v>
      </c>
      <c r="J4" s="61">
        <f t="shared" si="0"/>
        <v>12511.774625261096</v>
      </c>
      <c r="K4" s="61">
        <f t="shared" si="0"/>
        <v>12687.171244157178</v>
      </c>
      <c r="L4" s="84" t="s">
        <v>211</v>
      </c>
      <c r="N4" s="68">
        <f>0.15</f>
        <v>0.15</v>
      </c>
      <c r="O4" s="84" t="s">
        <v>165</v>
      </c>
    </row>
    <row r="5" spans="1:18" s="58" customFormat="1" ht="28.8" x14ac:dyDescent="0.3">
      <c r="A5" s="99" t="s">
        <v>191</v>
      </c>
      <c r="B5" s="61">
        <f>IF(0&lt;=(B3-B4)/B3,B4,B3*(1-$N$5))</f>
        <v>11000</v>
      </c>
      <c r="C5" s="61">
        <f t="shared" ref="C5:G5" si="1">IF(0&lt;=(C3-C4)/C3,C4,C3*(1-$N$5))</f>
        <v>11000</v>
      </c>
      <c r="D5" s="61">
        <f t="shared" si="1"/>
        <v>12000</v>
      </c>
      <c r="E5" s="61">
        <f t="shared" si="1"/>
        <v>12000</v>
      </c>
      <c r="F5" s="61">
        <f t="shared" si="1"/>
        <v>12000</v>
      </c>
      <c r="G5" s="61">
        <f t="shared" si="1"/>
        <v>12000</v>
      </c>
      <c r="H5" s="61">
        <f>IF(0&lt;=(H3-H4)/H3,H4,H3*(1-$N$5))</f>
        <v>12168.22229378265</v>
      </c>
      <c r="I5" s="61">
        <f t="shared" ref="I5" si="2">IF(0&lt;=(I3-I4)/I3,I4,I3*(1-$N$5))</f>
        <v>12338.802815909092</v>
      </c>
      <c r="J5" s="61">
        <f t="shared" ref="J5" si="3">IF(0&lt;=(J3-J4)/J3,J4,J3*(1-$N$5))</f>
        <v>12511.774625261096</v>
      </c>
      <c r="K5" s="61">
        <f t="shared" ref="K5" si="4">IF(0&lt;=(K3-K4)/K3,K4,K3*(1-$N$5))</f>
        <v>12687.171244157178</v>
      </c>
      <c r="L5" s="84" t="s">
        <v>271</v>
      </c>
      <c r="N5" s="68">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1437.333333333333</v>
      </c>
      <c r="C8" s="65">
        <f>B8</f>
        <v>1437.333333333333</v>
      </c>
      <c r="D8" s="65">
        <f t="shared" ref="D8:K8" si="5">C8</f>
        <v>1437.333333333333</v>
      </c>
      <c r="E8" s="65">
        <f t="shared" si="5"/>
        <v>1437.333333333333</v>
      </c>
      <c r="F8" s="65">
        <f t="shared" si="5"/>
        <v>1437.333333333333</v>
      </c>
      <c r="G8" s="65">
        <f t="shared" si="5"/>
        <v>1437.333333333333</v>
      </c>
      <c r="H8" s="65">
        <f t="shared" si="5"/>
        <v>1437.333333333333</v>
      </c>
      <c r="I8" s="65">
        <f t="shared" si="5"/>
        <v>1437.333333333333</v>
      </c>
      <c r="J8" s="65">
        <f t="shared" si="5"/>
        <v>1437.333333333333</v>
      </c>
      <c r="K8" s="65">
        <f t="shared" si="5"/>
        <v>1437.333333333333</v>
      </c>
      <c r="L8" s="84" t="s">
        <v>236</v>
      </c>
      <c r="N8" s="64">
        <v>1.4018524481887562E-2</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 t="shared" ref="B10:K10" si="6">B5*B9</f>
        <v>3300</v>
      </c>
      <c r="C10" s="61">
        <f t="shared" si="6"/>
        <v>3410</v>
      </c>
      <c r="D10" s="61">
        <f t="shared" si="6"/>
        <v>3960</v>
      </c>
      <c r="E10" s="61">
        <f t="shared" si="6"/>
        <v>4200</v>
      </c>
      <c r="F10" s="61">
        <f t="shared" si="6"/>
        <v>4440</v>
      </c>
      <c r="G10" s="61">
        <f t="shared" si="6"/>
        <v>4560</v>
      </c>
      <c r="H10" s="61">
        <f t="shared" si="6"/>
        <v>4867.2889175130604</v>
      </c>
      <c r="I10" s="61">
        <f t="shared" si="6"/>
        <v>5182.2971826818184</v>
      </c>
      <c r="J10" s="61">
        <f t="shared" si="6"/>
        <v>5380.0630888622709</v>
      </c>
      <c r="K10" s="61">
        <f t="shared" si="6"/>
        <v>5709.22705987073</v>
      </c>
      <c r="L10" s="84" t="s">
        <v>376</v>
      </c>
      <c r="N10" s="122"/>
      <c r="O10" s="60"/>
    </row>
    <row r="11" spans="1:18" s="58" customFormat="1" ht="28.8" x14ac:dyDescent="0.3">
      <c r="A11" s="99" t="s">
        <v>172</v>
      </c>
      <c r="B11" s="61">
        <f>MAX(B3-SUM(B6:B8,B10), B3*$N$6)</f>
        <v>7262.666666666667</v>
      </c>
      <c r="C11" s="61">
        <f t="shared" ref="C11:K11" si="7">MAX(C3-SUM(C6:C8,C10), C3*$N$6)</f>
        <v>7152.666666666667</v>
      </c>
      <c r="D11" s="61">
        <f t="shared" si="7"/>
        <v>6602.666666666667</v>
      </c>
      <c r="E11" s="61">
        <f t="shared" si="7"/>
        <v>6362.666666666667</v>
      </c>
      <c r="F11" s="61">
        <f t="shared" si="7"/>
        <v>7122.666666666667</v>
      </c>
      <c r="G11" s="61">
        <f t="shared" si="7"/>
        <v>7002.666666666667</v>
      </c>
      <c r="H11" s="61">
        <f t="shared" si="7"/>
        <v>6539.6123925908478</v>
      </c>
      <c r="I11" s="61">
        <f t="shared" si="7"/>
        <v>6404.6613452222227</v>
      </c>
      <c r="J11" s="61">
        <f t="shared" si="7"/>
        <v>6389.4767933577759</v>
      </c>
      <c r="K11" s="61">
        <f t="shared" si="7"/>
        <v>6245.4536978507367</v>
      </c>
      <c r="L11" s="84" t="s">
        <v>203</v>
      </c>
    </row>
    <row r="12" spans="1:18" s="58" customFormat="1" ht="43.8" x14ac:dyDescent="0.35">
      <c r="A12" s="99" t="s">
        <v>194</v>
      </c>
      <c r="B12" s="61">
        <f t="shared" ref="B12:K12" si="8">B6*$N$3+B11*$N$2</f>
        <v>3162.1650666666669</v>
      </c>
      <c r="C12" s="61">
        <f t="shared" si="8"/>
        <v>3114.2710666666667</v>
      </c>
      <c r="D12" s="61">
        <f t="shared" si="8"/>
        <v>2874.8010666666669</v>
      </c>
      <c r="E12" s="61">
        <f t="shared" si="8"/>
        <v>2770.3050666666668</v>
      </c>
      <c r="F12" s="61">
        <f t="shared" si="8"/>
        <v>3101.2090666666668</v>
      </c>
      <c r="G12" s="61">
        <f t="shared" si="8"/>
        <v>3048.9610666666667</v>
      </c>
      <c r="H12" s="61">
        <f t="shared" si="8"/>
        <v>2847.3472357340552</v>
      </c>
      <c r="I12" s="61">
        <f t="shared" si="8"/>
        <v>2788.5895497097558</v>
      </c>
      <c r="J12" s="61">
        <f t="shared" si="8"/>
        <v>2781.9781958279759</v>
      </c>
      <c r="K12" s="61">
        <f t="shared" si="8"/>
        <v>2719.270540044211</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9">B12/B3</f>
        <v>0.26351375555555556</v>
      </c>
      <c r="C14" s="80">
        <f t="shared" si="9"/>
        <v>0.25952258888888891</v>
      </c>
      <c r="D14" s="80">
        <f t="shared" si="9"/>
        <v>0.23956675555555557</v>
      </c>
      <c r="E14" s="80">
        <f t="shared" si="9"/>
        <v>0.23085875555555557</v>
      </c>
      <c r="F14" s="80">
        <f t="shared" si="9"/>
        <v>0.2385545435897436</v>
      </c>
      <c r="G14" s="80">
        <f t="shared" si="9"/>
        <v>0.23453546666666666</v>
      </c>
      <c r="H14" s="80">
        <f t="shared" si="9"/>
        <v>0.22168290402487364</v>
      </c>
      <c r="I14" s="80">
        <f t="shared" si="9"/>
        <v>0.21410680745024593</v>
      </c>
      <c r="J14" s="80">
        <f t="shared" si="9"/>
        <v>0.21064624081888778</v>
      </c>
      <c r="K14" s="80">
        <f t="shared" si="9"/>
        <v>0.20305164865832606</v>
      </c>
      <c r="L14" s="84" t="s">
        <v>206</v>
      </c>
    </row>
    <row r="15" spans="1:18" s="58" customFormat="1" ht="30.6" thickBot="1" x14ac:dyDescent="0.4">
      <c r="A15" s="99" t="s">
        <v>196</v>
      </c>
      <c r="B15" s="79">
        <f>$K$13*B14</f>
        <v>0</v>
      </c>
      <c r="C15" s="79">
        <f t="shared" ref="C15:K15" si="10">$K$13*C14</f>
        <v>0</v>
      </c>
      <c r="D15" s="79">
        <f t="shared" si="10"/>
        <v>0</v>
      </c>
      <c r="E15" s="79">
        <f t="shared" si="10"/>
        <v>0</v>
      </c>
      <c r="F15" s="79">
        <f t="shared" si="10"/>
        <v>0</v>
      </c>
      <c r="G15" s="79">
        <f t="shared" si="10"/>
        <v>0</v>
      </c>
      <c r="H15" s="79">
        <f t="shared" si="10"/>
        <v>0</v>
      </c>
      <c r="I15" s="79">
        <f t="shared" si="10"/>
        <v>0</v>
      </c>
      <c r="J15" s="79">
        <f t="shared" si="10"/>
        <v>0</v>
      </c>
      <c r="K15" s="79">
        <f t="shared" si="10"/>
        <v>0</v>
      </c>
      <c r="L15" s="84" t="s">
        <v>250</v>
      </c>
    </row>
    <row r="16" spans="1:18" ht="29.4" thickBot="1" x14ac:dyDescent="0.35">
      <c r="A16" s="179" t="s">
        <v>197</v>
      </c>
      <c r="B16" s="81">
        <f t="shared" ref="B16:K16" si="11">B12-B15</f>
        <v>3162.1650666666669</v>
      </c>
      <c r="C16" s="81">
        <f t="shared" si="11"/>
        <v>3114.2710666666667</v>
      </c>
      <c r="D16" s="81">
        <f t="shared" si="11"/>
        <v>2874.8010666666669</v>
      </c>
      <c r="E16" s="81">
        <f t="shared" si="11"/>
        <v>2770.3050666666668</v>
      </c>
      <c r="F16" s="81">
        <f t="shared" si="11"/>
        <v>3101.2090666666668</v>
      </c>
      <c r="G16" s="81">
        <f t="shared" si="11"/>
        <v>3048.9610666666667</v>
      </c>
      <c r="H16" s="81">
        <f t="shared" si="11"/>
        <v>2847.3472357340552</v>
      </c>
      <c r="I16" s="81">
        <f t="shared" si="11"/>
        <v>2788.5895497097558</v>
      </c>
      <c r="J16" s="81">
        <f t="shared" si="11"/>
        <v>2781.9781958279759</v>
      </c>
      <c r="K16" s="81">
        <f t="shared" si="11"/>
        <v>2719.270540044211</v>
      </c>
      <c r="L16" s="88" t="s">
        <v>265</v>
      </c>
      <c r="P16" s="58"/>
      <c r="Q16" s="58"/>
      <c r="R16" s="58"/>
    </row>
    <row r="17" spans="1:11" x14ac:dyDescent="0.3">
      <c r="A17" s="82"/>
      <c r="B17" s="82"/>
      <c r="C17" s="82"/>
      <c r="D17" s="82"/>
      <c r="E17" s="82"/>
      <c r="F17" s="82"/>
      <c r="G17" s="82"/>
      <c r="H17" s="82"/>
      <c r="I17" s="82"/>
      <c r="J17" s="82"/>
      <c r="K17" s="82"/>
    </row>
    <row r="18" spans="1:11"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7" s="58" customFormat="1" x14ac:dyDescent="0.3">
      <c r="A1" s="97" t="s">
        <v>27</v>
      </c>
      <c r="B1" s="199" t="s">
        <v>173</v>
      </c>
      <c r="C1" s="200"/>
      <c r="D1" s="200"/>
      <c r="E1" s="200"/>
      <c r="F1" s="200"/>
      <c r="G1" s="200"/>
      <c r="H1" s="200"/>
      <c r="I1" s="200"/>
      <c r="J1" s="200"/>
      <c r="K1" s="200"/>
      <c r="L1" s="201"/>
      <c r="N1" s="202" t="s">
        <v>193</v>
      </c>
      <c r="O1" s="203"/>
    </row>
    <row r="2" spans="1:17"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7" s="58" customFormat="1" ht="58.8" x14ac:dyDescent="0.35">
      <c r="A3" s="99" t="s">
        <v>166</v>
      </c>
      <c r="B3" s="61">
        <f>SUMIFS('Form 1.5a'!J:J, 'Form 1.5a'!$B:$B, "WAPA*")*1000</f>
        <v>2166000</v>
      </c>
      <c r="C3" s="61">
        <f>SUMIFS('Form 1.5a'!K:K, 'Form 1.5a'!$B:$B, "WAPA*")*1000</f>
        <v>2183000</v>
      </c>
      <c r="D3" s="61">
        <f>SUMIFS('Form 1.5a'!L:L, 'Form 1.5a'!$B:$B, "WAPA*")*1000</f>
        <v>2201000</v>
      </c>
      <c r="E3" s="61">
        <f>SUMIFS('Form 1.5a'!M:M, 'Form 1.5a'!$B:$B, "WAPA*")*1000</f>
        <v>2213000</v>
      </c>
      <c r="F3" s="61">
        <f>SUMIFS('Form 1.5a'!N:N, 'Form 1.5a'!$B:$B, "WAPA*")*1000</f>
        <v>2225000</v>
      </c>
      <c r="G3" s="61">
        <f>SUMIFS('Form 1.5a'!O:O, 'Form 1.5a'!$B:$B, "WAPA*")*1000</f>
        <v>2236000</v>
      </c>
      <c r="H3" s="65">
        <f>AVERAGE(E3:G3)*(1+$N$8)</f>
        <v>2236974.1349833328</v>
      </c>
      <c r="I3" s="65">
        <f t="shared" ref="I3:K4" si="0">H3*(1+$N$8)</f>
        <v>2249349.6916022315</v>
      </c>
      <c r="J3" s="65">
        <f t="shared" si="0"/>
        <v>2261793.7132065906</v>
      </c>
      <c r="K3" s="65">
        <f t="shared" si="0"/>
        <v>2274306.5785635547</v>
      </c>
      <c r="L3" s="84" t="s">
        <v>209</v>
      </c>
      <c r="N3" s="62">
        <v>0.91839999999999999</v>
      </c>
      <c r="O3" s="8" t="s">
        <v>199</v>
      </c>
    </row>
    <row r="4" spans="1:17" s="58" customFormat="1" ht="57.6" x14ac:dyDescent="0.3">
      <c r="A4" s="99" t="s">
        <v>167</v>
      </c>
      <c r="B4" s="61">
        <f>SUMIFS('Form 1.1c'!J:J, 'Form 1.1c'!$B:$B, "WAPA*")*1000</f>
        <v>1991000</v>
      </c>
      <c r="C4" s="61">
        <f>SUMIFS('Form 1.1c'!K:K, 'Form 1.1c'!$B:$B, "WAPA*")*1000</f>
        <v>2009000</v>
      </c>
      <c r="D4" s="61">
        <f>SUMIFS('Form 1.1c'!L:L, 'Form 1.1c'!$B:$B, "WAPA*")*1000</f>
        <v>2025000</v>
      </c>
      <c r="E4" s="61">
        <f>SUMIFS('Form 1.1c'!M:M, 'Form 1.1c'!$B:$B, "WAPA*")*1000</f>
        <v>2037000</v>
      </c>
      <c r="F4" s="61">
        <f>SUMIFS('Form 1.1c'!N:N, 'Form 1.1c'!$B:$B, "WAPA*")*1000</f>
        <v>2048000</v>
      </c>
      <c r="G4" s="61">
        <f>SUMIFS('Form 1.1c'!O:O, 'Form 1.1c'!$B:$B, "WAPA*")*1000</f>
        <v>2058000</v>
      </c>
      <c r="H4" s="65">
        <f>AVERAGE(E4:G4)*(1+$N$8)</f>
        <v>2058994.9222658998</v>
      </c>
      <c r="I4" s="61">
        <f t="shared" si="0"/>
        <v>2070385.8488930941</v>
      </c>
      <c r="J4" s="61">
        <f t="shared" si="0"/>
        <v>2081839.7932616256</v>
      </c>
      <c r="K4" s="61">
        <f t="shared" si="0"/>
        <v>2093357.1040029845</v>
      </c>
      <c r="L4" s="84" t="s">
        <v>211</v>
      </c>
      <c r="N4" s="68">
        <f>0.15</f>
        <v>0.15</v>
      </c>
      <c r="O4" s="84" t="s">
        <v>165</v>
      </c>
    </row>
    <row r="5" spans="1:17" s="58" customFormat="1" ht="28.8" x14ac:dyDescent="0.3">
      <c r="A5" s="99" t="s">
        <v>191</v>
      </c>
      <c r="B5" s="61">
        <f>IF(0&lt;(B3-B4)/B3,B4,B3*(1-$N$5))</f>
        <v>1991000</v>
      </c>
      <c r="C5" s="61">
        <f t="shared" ref="C5:K5" si="1">IF(0&lt;(C3-C4)/C3,C4,C3*(1-$N$5))</f>
        <v>2009000</v>
      </c>
      <c r="D5" s="61">
        <f t="shared" si="1"/>
        <v>2025000</v>
      </c>
      <c r="E5" s="61">
        <f t="shared" si="1"/>
        <v>2037000</v>
      </c>
      <c r="F5" s="61">
        <f t="shared" si="1"/>
        <v>2048000</v>
      </c>
      <c r="G5" s="61">
        <f t="shared" si="1"/>
        <v>2058000</v>
      </c>
      <c r="H5" s="61">
        <f t="shared" si="1"/>
        <v>2058994.9222658998</v>
      </c>
      <c r="I5" s="61">
        <f t="shared" si="1"/>
        <v>2070385.8488930941</v>
      </c>
      <c r="J5" s="61">
        <f t="shared" si="1"/>
        <v>2081839.7932616256</v>
      </c>
      <c r="K5" s="61">
        <f t="shared" si="1"/>
        <v>2093357.1040029845</v>
      </c>
      <c r="L5" s="84" t="s">
        <v>271</v>
      </c>
      <c r="N5" s="68">
        <f>0.07</f>
        <v>7.0000000000000007E-2</v>
      </c>
      <c r="O5" s="84" t="s">
        <v>275</v>
      </c>
    </row>
    <row r="6" spans="1:17" s="58" customFormat="1" x14ac:dyDescent="0.3">
      <c r="A6" s="99" t="s">
        <v>168</v>
      </c>
      <c r="B6" s="61">
        <v>0</v>
      </c>
      <c r="C6" s="61">
        <v>0</v>
      </c>
      <c r="D6" s="61">
        <v>0</v>
      </c>
      <c r="E6" s="61">
        <v>0</v>
      </c>
      <c r="F6" s="61">
        <v>0</v>
      </c>
      <c r="G6" s="61">
        <v>0</v>
      </c>
      <c r="H6" s="61">
        <v>0</v>
      </c>
      <c r="I6" s="61">
        <v>0</v>
      </c>
      <c r="J6" s="61">
        <v>0</v>
      </c>
      <c r="K6" s="61">
        <v>0</v>
      </c>
      <c r="L6" s="112" t="s">
        <v>225</v>
      </c>
      <c r="N6" s="63">
        <v>0.05</v>
      </c>
      <c r="O6" s="84" t="s">
        <v>200</v>
      </c>
    </row>
    <row r="7" spans="1:17" s="58" customFormat="1" x14ac:dyDescent="0.3">
      <c r="A7" s="99" t="s">
        <v>169</v>
      </c>
      <c r="B7" s="61">
        <v>0</v>
      </c>
      <c r="C7" s="61">
        <v>0</v>
      </c>
      <c r="D7" s="61">
        <v>0</v>
      </c>
      <c r="E7" s="61">
        <v>0</v>
      </c>
      <c r="F7" s="61">
        <v>0</v>
      </c>
      <c r="G7" s="61">
        <v>0</v>
      </c>
      <c r="H7" s="61">
        <v>0</v>
      </c>
      <c r="I7" s="61">
        <v>0</v>
      </c>
      <c r="J7" s="61">
        <v>0</v>
      </c>
      <c r="K7" s="61">
        <v>0</v>
      </c>
      <c r="L7" s="112" t="s">
        <v>226</v>
      </c>
      <c r="O7" s="101"/>
    </row>
    <row r="8" spans="1:17" s="58" customFormat="1" x14ac:dyDescent="0.3">
      <c r="A8" s="99" t="s">
        <v>170</v>
      </c>
      <c r="B8" s="65">
        <v>1053126.2303909999</v>
      </c>
      <c r="C8" s="61">
        <f>B8</f>
        <v>1053126.2303909999</v>
      </c>
      <c r="D8" s="61">
        <f t="shared" ref="D8:K8" si="2">C8</f>
        <v>1053126.2303909999</v>
      </c>
      <c r="E8" s="61">
        <f t="shared" si="2"/>
        <v>1053126.2303909999</v>
      </c>
      <c r="F8" s="61">
        <f t="shared" si="2"/>
        <v>1053126.2303909999</v>
      </c>
      <c r="G8" s="61">
        <f t="shared" si="2"/>
        <v>1053126.2303909999</v>
      </c>
      <c r="H8" s="61">
        <f t="shared" si="2"/>
        <v>1053126.2303909999</v>
      </c>
      <c r="I8" s="61">
        <f t="shared" si="2"/>
        <v>1053126.2303909999</v>
      </c>
      <c r="J8" s="61">
        <f t="shared" si="2"/>
        <v>1053126.2303909999</v>
      </c>
      <c r="K8" s="61">
        <f t="shared" si="2"/>
        <v>1053126.2303909999</v>
      </c>
      <c r="L8" s="84" t="s">
        <v>235</v>
      </c>
      <c r="N8" s="64">
        <v>5.5322752397361499E-3</v>
      </c>
      <c r="O8" s="84" t="s">
        <v>202</v>
      </c>
    </row>
    <row r="9" spans="1:17"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7" s="58" customFormat="1" x14ac:dyDescent="0.3">
      <c r="A10" s="99" t="s">
        <v>171</v>
      </c>
      <c r="B10" s="61">
        <f>B5*B9</f>
        <v>597300</v>
      </c>
      <c r="C10" s="61">
        <f t="shared" ref="C10:K10" si="3">C5*C9</f>
        <v>622790</v>
      </c>
      <c r="D10" s="61">
        <f t="shared" si="3"/>
        <v>668250</v>
      </c>
      <c r="E10" s="61">
        <f t="shared" si="3"/>
        <v>712950</v>
      </c>
      <c r="F10" s="61">
        <f t="shared" si="3"/>
        <v>757760</v>
      </c>
      <c r="G10" s="61">
        <f t="shared" si="3"/>
        <v>782040</v>
      </c>
      <c r="H10" s="61">
        <f t="shared" si="3"/>
        <v>823597.96890635998</v>
      </c>
      <c r="I10" s="61">
        <f t="shared" si="3"/>
        <v>869562.05653509952</v>
      </c>
      <c r="J10" s="61">
        <f t="shared" si="3"/>
        <v>895191.11110249895</v>
      </c>
      <c r="K10" s="61">
        <f t="shared" si="3"/>
        <v>942010.696801343</v>
      </c>
      <c r="L10" s="84" t="s">
        <v>376</v>
      </c>
      <c r="N10" s="123"/>
    </row>
    <row r="11" spans="1:17" s="58" customFormat="1" ht="28.8" x14ac:dyDescent="0.3">
      <c r="A11" s="99" t="s">
        <v>172</v>
      </c>
      <c r="B11" s="61">
        <f t="shared" ref="B11:K11" si="4">MAX(B3-SUM(B6:B8,B10), B3*$N$6)</f>
        <v>515573.76960900007</v>
      </c>
      <c r="C11" s="61">
        <f t="shared" si="4"/>
        <v>507083.76960900007</v>
      </c>
      <c r="D11" s="61">
        <f t="shared" si="4"/>
        <v>479623.76960900007</v>
      </c>
      <c r="E11" s="61">
        <f t="shared" si="4"/>
        <v>446923.76960900007</v>
      </c>
      <c r="F11" s="61">
        <f t="shared" si="4"/>
        <v>414113.76960900007</v>
      </c>
      <c r="G11" s="61">
        <f t="shared" si="4"/>
        <v>400833.76960900007</v>
      </c>
      <c r="H11" s="61">
        <f t="shared" si="4"/>
        <v>360249.93568597292</v>
      </c>
      <c r="I11" s="61">
        <f t="shared" si="4"/>
        <v>326661.4046761319</v>
      </c>
      <c r="J11" s="61">
        <f t="shared" si="4"/>
        <v>313476.37171309162</v>
      </c>
      <c r="K11" s="61">
        <f t="shared" si="4"/>
        <v>279169.65137121174</v>
      </c>
      <c r="L11" s="84" t="s">
        <v>203</v>
      </c>
    </row>
    <row r="12" spans="1:17" s="58" customFormat="1" ht="43.8" x14ac:dyDescent="0.35">
      <c r="A12" s="99" t="s">
        <v>194</v>
      </c>
      <c r="B12" s="61">
        <f t="shared" ref="B12:K12" si="5">B6*$N$3+B11*$N$2</f>
        <v>224480.81928775864</v>
      </c>
      <c r="C12" s="61">
        <f t="shared" si="5"/>
        <v>220784.27328775864</v>
      </c>
      <c r="D12" s="61">
        <f t="shared" si="5"/>
        <v>208828.18928775864</v>
      </c>
      <c r="E12" s="61">
        <f t="shared" si="5"/>
        <v>194590.60928775862</v>
      </c>
      <c r="F12" s="61">
        <f t="shared" si="5"/>
        <v>180305.13528775863</v>
      </c>
      <c r="G12" s="61">
        <f t="shared" si="5"/>
        <v>174523.02328775864</v>
      </c>
      <c r="H12" s="61">
        <f t="shared" si="5"/>
        <v>156852.82199767261</v>
      </c>
      <c r="I12" s="61">
        <f t="shared" si="5"/>
        <v>142228.37559598783</v>
      </c>
      <c r="J12" s="61">
        <f t="shared" si="5"/>
        <v>136487.61224388008</v>
      </c>
      <c r="K12" s="61">
        <f t="shared" si="5"/>
        <v>121550.4662070256</v>
      </c>
      <c r="L12" s="102" t="s">
        <v>204</v>
      </c>
    </row>
    <row r="13" spans="1:17" s="58" customFormat="1" ht="72" x14ac:dyDescent="0.3">
      <c r="A13" s="99"/>
      <c r="B13" s="204" t="s">
        <v>205</v>
      </c>
      <c r="C13" s="205"/>
      <c r="D13" s="205"/>
      <c r="E13" s="205"/>
      <c r="F13" s="205"/>
      <c r="G13" s="205"/>
      <c r="H13" s="205"/>
      <c r="I13" s="205"/>
      <c r="J13" s="206"/>
      <c r="K13" s="83">
        <v>0</v>
      </c>
      <c r="L13" s="102" t="s">
        <v>368</v>
      </c>
    </row>
    <row r="14" spans="1:17" s="58" customFormat="1" ht="30" x14ac:dyDescent="0.35">
      <c r="A14" s="99" t="s">
        <v>195</v>
      </c>
      <c r="B14" s="80">
        <f t="shared" ref="B14:K14" si="6">B12/B3</f>
        <v>0.10363842072380362</v>
      </c>
      <c r="C14" s="80">
        <f t="shared" si="6"/>
        <v>0.10113800883543685</v>
      </c>
      <c r="D14" s="80">
        <f t="shared" si="6"/>
        <v>9.4878777504660894E-2</v>
      </c>
      <c r="E14" s="80">
        <f t="shared" si="6"/>
        <v>8.7930686528585003E-2</v>
      </c>
      <c r="F14" s="80">
        <f t="shared" si="6"/>
        <v>8.1036015859666799E-2</v>
      </c>
      <c r="G14" s="80">
        <f t="shared" si="6"/>
        <v>7.8051441541931416E-2</v>
      </c>
      <c r="H14" s="80">
        <f t="shared" si="6"/>
        <v>7.0118299333327472E-2</v>
      </c>
      <c r="I14" s="80">
        <f t="shared" si="6"/>
        <v>6.3230886743393513E-2</v>
      </c>
      <c r="J14" s="80">
        <f t="shared" si="6"/>
        <v>6.0344854372408191E-2</v>
      </c>
      <c r="K14" s="80">
        <f t="shared" si="6"/>
        <v>5.3445066444734339E-2</v>
      </c>
      <c r="L14" s="84" t="s">
        <v>206</v>
      </c>
    </row>
    <row r="15" spans="1:17"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7" ht="29.4" thickBot="1" x14ac:dyDescent="0.35">
      <c r="A16" s="179" t="s">
        <v>197</v>
      </c>
      <c r="B16" s="81">
        <f t="shared" ref="B16:K16" si="8">B12-B15</f>
        <v>224480.81928775864</v>
      </c>
      <c r="C16" s="81">
        <f t="shared" si="8"/>
        <v>220784.27328775864</v>
      </c>
      <c r="D16" s="81">
        <f t="shared" si="8"/>
        <v>208828.18928775864</v>
      </c>
      <c r="E16" s="81">
        <f t="shared" si="8"/>
        <v>194590.60928775862</v>
      </c>
      <c r="F16" s="81">
        <f t="shared" si="8"/>
        <v>180305.13528775863</v>
      </c>
      <c r="G16" s="81">
        <f t="shared" si="8"/>
        <v>174523.02328775864</v>
      </c>
      <c r="H16" s="81">
        <f t="shared" si="8"/>
        <v>156852.82199767261</v>
      </c>
      <c r="I16" s="81">
        <f t="shared" si="8"/>
        <v>142228.37559598783</v>
      </c>
      <c r="J16" s="81">
        <f t="shared" si="8"/>
        <v>136487.61224388008</v>
      </c>
      <c r="K16" s="81">
        <f t="shared" si="8"/>
        <v>121550.4662070256</v>
      </c>
      <c r="L16" s="88" t="s">
        <v>265</v>
      </c>
      <c r="N16" s="58"/>
      <c r="O16" s="58"/>
      <c r="P16" s="58"/>
      <c r="Q16" s="58"/>
    </row>
    <row r="17" spans="1:17" x14ac:dyDescent="0.3">
      <c r="A17" s="82"/>
      <c r="B17" s="82"/>
      <c r="C17" s="82"/>
      <c r="D17" s="82"/>
      <c r="E17" s="82"/>
      <c r="F17" s="82"/>
      <c r="G17" s="82"/>
      <c r="H17" s="82"/>
      <c r="I17" s="82"/>
      <c r="J17" s="82"/>
      <c r="K17" s="82"/>
      <c r="N17" s="58"/>
      <c r="O17" s="58"/>
      <c r="P17" s="58"/>
      <c r="Q17" s="58"/>
    </row>
    <row r="18" spans="1:17" ht="15.6" x14ac:dyDescent="0.3">
      <c r="A18" s="82"/>
      <c r="B18" s="82"/>
      <c r="C18" s="82"/>
      <c r="D18" s="82"/>
      <c r="E18" s="82"/>
      <c r="F18" s="82"/>
      <c r="G18" s="82"/>
      <c r="H18" s="82"/>
      <c r="I18" s="82"/>
      <c r="J18" s="82"/>
      <c r="K18" s="82"/>
      <c r="N18" s="3"/>
      <c r="O18" s="3"/>
      <c r="P18" s="58"/>
      <c r="Q18" s="58"/>
    </row>
  </sheetData>
  <mergeCells count="3">
    <mergeCell ref="B1:L1"/>
    <mergeCell ref="N1:O1"/>
    <mergeCell ref="B13:J13"/>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workbookViewId="0"/>
  </sheetViews>
  <sheetFormatPr defaultColWidth="8.88671875" defaultRowHeight="14.4" x14ac:dyDescent="0.3"/>
  <cols>
    <col min="1" max="1" width="21.6640625" style="159" customWidth="1"/>
    <col min="2" max="2" width="18.44140625" style="152" customWidth="1"/>
    <col min="3" max="3" width="34.33203125" style="152" customWidth="1"/>
    <col min="4" max="4" width="8.88671875" style="152" customWidth="1"/>
    <col min="5" max="5" width="46.33203125" style="152" customWidth="1"/>
    <col min="6" max="6" width="9" style="152" bestFit="1" customWidth="1"/>
    <col min="7" max="7" width="31.44140625" style="152" customWidth="1"/>
    <col min="8" max="8" width="13.88671875" style="152" customWidth="1"/>
    <col min="9" max="10" width="9.6640625" style="152" bestFit="1" customWidth="1"/>
    <col min="11" max="11" width="10.6640625" style="152" bestFit="1" customWidth="1"/>
    <col min="12" max="16384" width="8.88671875" style="152"/>
  </cols>
  <sheetData>
    <row r="1" spans="1:18" s="58" customFormat="1" ht="28.8" x14ac:dyDescent="0.3">
      <c r="A1" s="97" t="s">
        <v>26</v>
      </c>
      <c r="B1" s="189"/>
    </row>
    <row r="2" spans="1:18" s="58" customFormat="1" ht="28.8" x14ac:dyDescent="0.3">
      <c r="A2" s="190" t="s">
        <v>372</v>
      </c>
      <c r="B2" s="175" t="s">
        <v>355</v>
      </c>
    </row>
    <row r="3" spans="1:18" s="165" customFormat="1" x14ac:dyDescent="0.3">
      <c r="A3" s="173" t="s">
        <v>356</v>
      </c>
      <c r="B3" s="163">
        <f>B14</f>
        <v>35259</v>
      </c>
    </row>
    <row r="4" spans="1:18" s="165" customFormat="1" ht="15" thickBot="1" x14ac:dyDescent="0.35">
      <c r="A4" s="187" t="s">
        <v>357</v>
      </c>
      <c r="B4" s="174">
        <f>B32</f>
        <v>114518.21156762377</v>
      </c>
    </row>
    <row r="5" spans="1:18" s="165" customFormat="1" ht="29.4" thickBot="1" x14ac:dyDescent="0.35">
      <c r="A5" s="182" t="s">
        <v>358</v>
      </c>
      <c r="B5" s="188">
        <f>SUM(B3:B4)</f>
        <v>149777.21156762377</v>
      </c>
    </row>
    <row r="6" spans="1:18" s="165" customFormat="1" x14ac:dyDescent="0.3"/>
    <row r="7" spans="1:18" s="165" customFormat="1" x14ac:dyDescent="0.3"/>
    <row r="8" spans="1:18" s="165" customFormat="1" x14ac:dyDescent="0.3">
      <c r="A8" s="212" t="s">
        <v>346</v>
      </c>
      <c r="B8" s="213"/>
      <c r="C8" s="214"/>
    </row>
    <row r="9" spans="1:18" s="166" customFormat="1" x14ac:dyDescent="0.3">
      <c r="A9" s="215" t="s">
        <v>327</v>
      </c>
      <c r="B9" s="215"/>
      <c r="C9" s="215"/>
    </row>
    <row r="10" spans="1:18" s="165" customFormat="1" x14ac:dyDescent="0.3">
      <c r="A10" s="167"/>
      <c r="B10" s="167"/>
      <c r="C10" s="168" t="s">
        <v>174</v>
      </c>
    </row>
    <row r="11" spans="1:18" s="165" customFormat="1" ht="28.8" x14ac:dyDescent="0.3">
      <c r="A11" s="169" t="s">
        <v>347</v>
      </c>
      <c r="B11" s="169">
        <v>5750</v>
      </c>
      <c r="C11" s="186" t="s">
        <v>371</v>
      </c>
    </row>
    <row r="12" spans="1:18" s="165" customFormat="1" x14ac:dyDescent="0.3">
      <c r="A12" s="169" t="s">
        <v>348</v>
      </c>
      <c r="B12" s="169">
        <f>24*365</f>
        <v>8760</v>
      </c>
      <c r="C12" s="169" t="s">
        <v>349</v>
      </c>
    </row>
    <row r="13" spans="1:18" s="165" customFormat="1" ht="117.6" thickBot="1" x14ac:dyDescent="0.35">
      <c r="A13" s="180" t="s">
        <v>350</v>
      </c>
      <c r="B13" s="181">
        <v>0.7</v>
      </c>
      <c r="C13" s="185" t="s">
        <v>370</v>
      </c>
    </row>
    <row r="14" spans="1:18" s="165" customFormat="1" ht="43.8" thickBot="1" x14ac:dyDescent="0.35">
      <c r="A14" s="182" t="s">
        <v>351</v>
      </c>
      <c r="B14" s="183">
        <f>B11*B12*B13/1000</f>
        <v>35259</v>
      </c>
      <c r="C14" s="184" t="s">
        <v>352</v>
      </c>
    </row>
    <row r="15" spans="1:18" s="132" customFormat="1" x14ac:dyDescent="0.3">
      <c r="A15" s="131" t="s">
        <v>218</v>
      </c>
      <c r="B15" s="170"/>
      <c r="C15" s="131"/>
      <c r="D15" s="131"/>
      <c r="E15" s="131"/>
      <c r="F15" s="131"/>
      <c r="G15" s="131"/>
      <c r="H15" s="131"/>
      <c r="I15" s="131"/>
      <c r="J15" s="131"/>
      <c r="K15" s="131"/>
      <c r="P15" s="171"/>
      <c r="Q15" s="171"/>
      <c r="R15" s="171"/>
    </row>
    <row r="16" spans="1:18" s="132" customFormat="1" ht="16.2" x14ac:dyDescent="0.3">
      <c r="A16" s="132" t="s">
        <v>353</v>
      </c>
      <c r="N16" s="172"/>
      <c r="O16" s="172"/>
    </row>
    <row r="17" spans="1:7" s="132" customFormat="1" ht="16.2" x14ac:dyDescent="0.3">
      <c r="A17" s="132" t="s">
        <v>354</v>
      </c>
    </row>
    <row r="18" spans="1:7" s="165" customFormat="1" x14ac:dyDescent="0.3"/>
    <row r="19" spans="1:7" s="165" customFormat="1" x14ac:dyDescent="0.3"/>
    <row r="20" spans="1:7" x14ac:dyDescent="0.3">
      <c r="A20" s="217" t="s">
        <v>325</v>
      </c>
      <c r="B20" s="217"/>
      <c r="C20" s="217"/>
      <c r="D20" s="217"/>
      <c r="E20" s="217"/>
      <c r="F20" s="217"/>
      <c r="G20" s="217"/>
    </row>
    <row r="22" spans="1:7" x14ac:dyDescent="0.3">
      <c r="A22" s="218" t="s">
        <v>326</v>
      </c>
      <c r="B22" s="218"/>
      <c r="C22" s="218"/>
      <c r="E22" s="218" t="s">
        <v>327</v>
      </c>
      <c r="F22" s="218"/>
      <c r="G22" s="218"/>
    </row>
    <row r="23" spans="1:7" x14ac:dyDescent="0.3">
      <c r="A23" s="153" t="s">
        <v>328</v>
      </c>
      <c r="B23" s="154" t="s">
        <v>329</v>
      </c>
      <c r="C23" s="154" t="s">
        <v>174</v>
      </c>
      <c r="E23" s="155"/>
      <c r="F23" s="155" t="s">
        <v>323</v>
      </c>
      <c r="G23" s="155" t="s">
        <v>174</v>
      </c>
    </row>
    <row r="24" spans="1:7" ht="16.2" x14ac:dyDescent="0.3">
      <c r="A24" s="156">
        <v>2014</v>
      </c>
      <c r="B24" s="157">
        <f>SUM(K45:K56)/1000</f>
        <v>114126.868</v>
      </c>
      <c r="C24" s="157" t="s">
        <v>330</v>
      </c>
      <c r="E24" s="156" t="s">
        <v>331</v>
      </c>
      <c r="F24" s="157">
        <v>13423</v>
      </c>
      <c r="G24" s="158" t="s">
        <v>332</v>
      </c>
    </row>
    <row r="25" spans="1:7" ht="16.2" x14ac:dyDescent="0.3">
      <c r="A25" s="156">
        <v>2015</v>
      </c>
      <c r="B25" s="157">
        <f>SUM(K57:K68)/1000</f>
        <v>113687.542</v>
      </c>
      <c r="C25" s="157" t="s">
        <v>330</v>
      </c>
      <c r="E25" s="156" t="s">
        <v>333</v>
      </c>
      <c r="F25" s="157">
        <v>13526</v>
      </c>
      <c r="G25" s="158" t="s">
        <v>332</v>
      </c>
    </row>
    <row r="26" spans="1:7" ht="16.2" x14ac:dyDescent="0.3">
      <c r="A26" s="156">
        <v>2016</v>
      </c>
      <c r="B26" s="157">
        <f>SUM(K69:K80)/1000</f>
        <v>115956.605</v>
      </c>
      <c r="C26" s="157" t="s">
        <v>330</v>
      </c>
      <c r="E26" s="156" t="s">
        <v>334</v>
      </c>
      <c r="F26" s="157">
        <v>13534</v>
      </c>
      <c r="G26" s="158" t="s">
        <v>332</v>
      </c>
    </row>
    <row r="27" spans="1:7" x14ac:dyDescent="0.3">
      <c r="A27" s="156" t="s">
        <v>322</v>
      </c>
      <c r="B27" s="157">
        <f>SUM(B24:B26)</f>
        <v>343771.01500000001</v>
      </c>
      <c r="C27" s="157" t="s">
        <v>335</v>
      </c>
      <c r="E27" s="156" t="s">
        <v>336</v>
      </c>
      <c r="F27" s="157">
        <f>(3*F24+3*F25+6*F26)/12</f>
        <v>13504.25</v>
      </c>
      <c r="G27" s="157" t="s">
        <v>337</v>
      </c>
    </row>
    <row r="28" spans="1:7" ht="16.2" x14ac:dyDescent="0.3">
      <c r="A28" s="156" t="s">
        <v>338</v>
      </c>
      <c r="B28" s="157">
        <f>B27/3</f>
        <v>114590.33833333333</v>
      </c>
      <c r="C28" s="157" t="s">
        <v>339</v>
      </c>
      <c r="E28" s="156" t="s">
        <v>340</v>
      </c>
      <c r="F28" s="157">
        <v>27000</v>
      </c>
      <c r="G28" s="158" t="s">
        <v>332</v>
      </c>
    </row>
    <row r="29" spans="1:7" ht="28.8" x14ac:dyDescent="0.3">
      <c r="B29" s="160"/>
      <c r="C29" s="160"/>
      <c r="E29" s="156" t="s">
        <v>341</v>
      </c>
      <c r="F29" s="161">
        <f>(F28-F27)/F27</f>
        <v>0.99937056852472372</v>
      </c>
      <c r="G29" s="162" t="s">
        <v>342</v>
      </c>
    </row>
    <row r="30" spans="1:7" x14ac:dyDescent="0.3">
      <c r="A30" s="218" t="s">
        <v>343</v>
      </c>
      <c r="B30" s="218"/>
      <c r="C30" s="218"/>
    </row>
    <row r="31" spans="1:7" ht="15" thickBot="1" x14ac:dyDescent="0.35">
      <c r="A31" s="191"/>
      <c r="B31" s="192" t="s">
        <v>329</v>
      </c>
      <c r="C31" s="192" t="s">
        <v>174</v>
      </c>
    </row>
    <row r="32" spans="1:7" ht="43.8" thickBot="1" x14ac:dyDescent="0.35">
      <c r="A32" s="193" t="s">
        <v>343</v>
      </c>
      <c r="B32" s="194">
        <f>F29*B28</f>
        <v>114518.21156762377</v>
      </c>
      <c r="C32" s="195" t="s">
        <v>344</v>
      </c>
    </row>
    <row r="34" spans="1:15" x14ac:dyDescent="0.3">
      <c r="A34" s="131" t="s">
        <v>218</v>
      </c>
    </row>
    <row r="35" spans="1:15" ht="16.2" x14ac:dyDescent="0.3">
      <c r="A35" s="164" t="s">
        <v>345</v>
      </c>
    </row>
    <row r="38" spans="1:15" x14ac:dyDescent="0.3">
      <c r="A38" s="216" t="s">
        <v>359</v>
      </c>
      <c r="B38" s="216"/>
      <c r="C38" s="216"/>
      <c r="D38" s="216"/>
      <c r="E38" s="216"/>
      <c r="F38" s="216"/>
      <c r="G38" s="216"/>
      <c r="H38" s="216"/>
      <c r="I38" s="216"/>
      <c r="J38" s="216"/>
      <c r="K38" s="216"/>
      <c r="L38" s="216"/>
      <c r="M38" s="216"/>
      <c r="N38" s="216"/>
      <c r="O38" s="216"/>
    </row>
    <row r="40" spans="1:15" s="136" customFormat="1" ht="13.5" customHeight="1" x14ac:dyDescent="0.3">
      <c r="A40" s="135" t="s">
        <v>277</v>
      </c>
      <c r="B40" s="135"/>
    </row>
    <row r="41" spans="1:15" s="136" customFormat="1" ht="13.5" customHeight="1" x14ac:dyDescent="0.3">
      <c r="D41" s="137"/>
      <c r="E41" s="137"/>
      <c r="F41" s="137"/>
      <c r="G41" s="137"/>
      <c r="H41" s="137"/>
      <c r="I41" s="137"/>
      <c r="J41" s="137"/>
      <c r="K41" s="137"/>
      <c r="L41" s="137"/>
      <c r="M41" s="137"/>
      <c r="N41" s="137"/>
      <c r="O41" s="137"/>
    </row>
    <row r="42" spans="1:15" s="136" customFormat="1" ht="13.2" x14ac:dyDescent="0.3">
      <c r="A42" s="138" t="s">
        <v>278</v>
      </c>
      <c r="B42" s="138" t="s">
        <v>279</v>
      </c>
      <c r="C42" s="138"/>
      <c r="D42" s="138" t="s">
        <v>280</v>
      </c>
      <c r="F42" s="139" t="s">
        <v>281</v>
      </c>
      <c r="H42" s="140" t="s">
        <v>282</v>
      </c>
      <c r="I42" s="140" t="s">
        <v>283</v>
      </c>
      <c r="J42" s="140" t="s">
        <v>284</v>
      </c>
      <c r="K42" s="139" t="s">
        <v>285</v>
      </c>
      <c r="M42" s="140" t="s">
        <v>282</v>
      </c>
      <c r="N42" s="140" t="s">
        <v>283</v>
      </c>
      <c r="O42" s="140" t="s">
        <v>284</v>
      </c>
    </row>
    <row r="43" spans="1:15" s="136" customFormat="1" ht="13.5" customHeight="1" x14ac:dyDescent="0.3">
      <c r="A43" s="176"/>
    </row>
    <row r="44" spans="1:15" s="136" customFormat="1" ht="13.2" x14ac:dyDescent="0.3">
      <c r="A44" s="176"/>
      <c r="B44" s="176"/>
      <c r="C44" s="141"/>
      <c r="D44" s="176"/>
    </row>
    <row r="45" spans="1:15" s="136" customFormat="1" ht="13.2" x14ac:dyDescent="0.3">
      <c r="A45" s="176"/>
      <c r="E45" s="142"/>
      <c r="F45" s="143" t="s">
        <v>286</v>
      </c>
      <c r="G45" s="144"/>
      <c r="H45" s="145">
        <v>1374171</v>
      </c>
      <c r="I45" s="145">
        <v>2442509</v>
      </c>
      <c r="J45" s="146">
        <v>5871391</v>
      </c>
      <c r="K45" s="145">
        <v>9688071</v>
      </c>
      <c r="L45" s="144"/>
      <c r="M45" s="145">
        <v>13748</v>
      </c>
      <c r="N45" s="145">
        <v>13686</v>
      </c>
      <c r="O45" s="145">
        <v>13815</v>
      </c>
    </row>
    <row r="46" spans="1:15" s="136" customFormat="1" ht="15" customHeight="1" x14ac:dyDescent="0.3">
      <c r="E46" s="142"/>
      <c r="F46" s="143" t="s">
        <v>287</v>
      </c>
      <c r="G46" s="144"/>
      <c r="H46" s="145">
        <v>1373397</v>
      </c>
      <c r="I46" s="145">
        <v>2460707</v>
      </c>
      <c r="J46" s="146">
        <v>5840245</v>
      </c>
      <c r="K46" s="145">
        <v>9674349</v>
      </c>
      <c r="L46" s="144"/>
      <c r="M46" s="145">
        <v>13462</v>
      </c>
      <c r="N46" s="145">
        <v>13496</v>
      </c>
      <c r="O46" s="145">
        <v>13490</v>
      </c>
    </row>
    <row r="47" spans="1:15" s="136" customFormat="1" ht="15" customHeight="1" x14ac:dyDescent="0.3">
      <c r="E47" s="142"/>
      <c r="F47" s="143" t="s">
        <v>288</v>
      </c>
      <c r="G47" s="144"/>
      <c r="H47" s="145">
        <v>1307879</v>
      </c>
      <c r="I47" s="145">
        <v>2369517</v>
      </c>
      <c r="J47" s="146">
        <v>5183555</v>
      </c>
      <c r="K47" s="145">
        <v>8860952</v>
      </c>
      <c r="L47" s="144"/>
      <c r="M47" s="145">
        <v>13586</v>
      </c>
      <c r="N47" s="145">
        <v>13597</v>
      </c>
      <c r="O47" s="145">
        <v>13675</v>
      </c>
    </row>
    <row r="48" spans="1:15" s="136" customFormat="1" ht="15" customHeight="1" x14ac:dyDescent="0.3">
      <c r="E48" s="142"/>
      <c r="F48" s="143" t="s">
        <v>289</v>
      </c>
      <c r="G48" s="144"/>
      <c r="H48" s="145">
        <v>1297461</v>
      </c>
      <c r="I48" s="145">
        <v>2322737</v>
      </c>
      <c r="J48" s="146">
        <v>6016677</v>
      </c>
      <c r="K48" s="145">
        <v>9636876</v>
      </c>
      <c r="L48" s="144"/>
      <c r="M48" s="145">
        <v>13513</v>
      </c>
      <c r="N48" s="145">
        <v>13490</v>
      </c>
      <c r="O48" s="145">
        <v>13580</v>
      </c>
    </row>
    <row r="49" spans="5:15" s="136" customFormat="1" ht="15" customHeight="1" x14ac:dyDescent="0.3">
      <c r="E49" s="142"/>
      <c r="F49" s="143" t="s">
        <v>290</v>
      </c>
      <c r="G49" s="144"/>
      <c r="H49" s="145">
        <v>1421432</v>
      </c>
      <c r="I49" s="145">
        <v>2480899</v>
      </c>
      <c r="J49" s="146">
        <v>5408901</v>
      </c>
      <c r="K49" s="145">
        <v>9311233</v>
      </c>
      <c r="L49" s="144"/>
      <c r="M49" s="145">
        <v>13546</v>
      </c>
      <c r="N49" s="145">
        <v>13434</v>
      </c>
      <c r="O49" s="145">
        <v>13580</v>
      </c>
    </row>
    <row r="50" spans="5:15" s="136" customFormat="1" ht="15" customHeight="1" x14ac:dyDescent="0.3">
      <c r="E50" s="142"/>
      <c r="F50" s="143" t="s">
        <v>291</v>
      </c>
      <c r="G50" s="144"/>
      <c r="H50" s="145">
        <v>1657776</v>
      </c>
      <c r="I50" s="145">
        <v>2214913</v>
      </c>
      <c r="J50" s="146">
        <v>5875132</v>
      </c>
      <c r="K50" s="145">
        <v>9747821</v>
      </c>
      <c r="L50" s="144"/>
      <c r="M50" s="145">
        <v>13541</v>
      </c>
      <c r="N50" s="145">
        <v>13546</v>
      </c>
      <c r="O50" s="145">
        <v>13602</v>
      </c>
    </row>
    <row r="51" spans="5:15" s="136" customFormat="1" ht="15" customHeight="1" x14ac:dyDescent="0.3">
      <c r="E51" s="142"/>
      <c r="F51" s="143" t="s">
        <v>292</v>
      </c>
      <c r="G51" s="144"/>
      <c r="H51" s="145">
        <v>1659884</v>
      </c>
      <c r="I51" s="145">
        <v>2215619</v>
      </c>
      <c r="J51" s="146">
        <v>5616410</v>
      </c>
      <c r="K51" s="145">
        <v>9491914</v>
      </c>
      <c r="L51" s="144"/>
      <c r="M51" s="145">
        <v>13574</v>
      </c>
      <c r="N51" s="145">
        <v>13518</v>
      </c>
      <c r="O51" s="145">
        <v>13563</v>
      </c>
    </row>
    <row r="52" spans="5:15" s="136" customFormat="1" ht="15" customHeight="1" x14ac:dyDescent="0.3">
      <c r="E52" s="142"/>
      <c r="F52" s="143" t="s">
        <v>293</v>
      </c>
      <c r="G52" s="144"/>
      <c r="H52" s="145">
        <v>1716404</v>
      </c>
      <c r="I52" s="145">
        <v>2290155</v>
      </c>
      <c r="J52" s="146">
        <v>5662270</v>
      </c>
      <c r="K52" s="145">
        <v>9668829</v>
      </c>
      <c r="L52" s="144"/>
      <c r="M52" s="145">
        <v>13423</v>
      </c>
      <c r="N52" s="145">
        <v>13429</v>
      </c>
      <c r="O52" s="145">
        <v>13434</v>
      </c>
    </row>
    <row r="53" spans="5:15" s="136" customFormat="1" ht="15" customHeight="1" x14ac:dyDescent="0.3">
      <c r="E53" s="142"/>
      <c r="F53" s="143" t="s">
        <v>294</v>
      </c>
      <c r="G53" s="144"/>
      <c r="H53" s="145">
        <v>1639730</v>
      </c>
      <c r="I53" s="145">
        <v>2188505</v>
      </c>
      <c r="J53" s="146">
        <v>5857024</v>
      </c>
      <c r="K53" s="145">
        <v>9685260</v>
      </c>
      <c r="L53" s="144"/>
      <c r="M53" s="145">
        <v>13446</v>
      </c>
      <c r="N53" s="145">
        <v>13462</v>
      </c>
      <c r="O53" s="145">
        <v>13490</v>
      </c>
    </row>
    <row r="54" spans="5:15" s="136" customFormat="1" ht="15" customHeight="1" x14ac:dyDescent="0.3">
      <c r="E54" s="142"/>
      <c r="F54" s="143" t="s">
        <v>295</v>
      </c>
      <c r="G54" s="144"/>
      <c r="H54" s="145">
        <v>1634841</v>
      </c>
      <c r="I54" s="145">
        <v>2177990</v>
      </c>
      <c r="J54" s="146">
        <v>5529845</v>
      </c>
      <c r="K54" s="145">
        <v>9342677</v>
      </c>
      <c r="L54" s="144"/>
      <c r="M54" s="145">
        <v>13401</v>
      </c>
      <c r="N54" s="145">
        <v>13468</v>
      </c>
      <c r="O54" s="145">
        <v>13490</v>
      </c>
    </row>
    <row r="55" spans="5:15" s="136" customFormat="1" ht="15" customHeight="1" x14ac:dyDescent="0.3">
      <c r="E55" s="142"/>
      <c r="F55" s="143" t="s">
        <v>296</v>
      </c>
      <c r="G55" s="144"/>
      <c r="H55" s="145">
        <v>1724582</v>
      </c>
      <c r="I55" s="145">
        <v>2294975</v>
      </c>
      <c r="J55" s="146">
        <v>5701341</v>
      </c>
      <c r="K55" s="145">
        <v>9720899</v>
      </c>
      <c r="L55" s="144"/>
      <c r="M55" s="145">
        <v>13462</v>
      </c>
      <c r="N55" s="145">
        <v>13451</v>
      </c>
      <c r="O55" s="145">
        <v>13474</v>
      </c>
    </row>
    <row r="56" spans="5:15" s="136" customFormat="1" ht="15" customHeight="1" x14ac:dyDescent="0.3">
      <c r="E56" s="142"/>
      <c r="F56" s="143" t="s">
        <v>297</v>
      </c>
      <c r="G56" s="144"/>
      <c r="H56" s="145">
        <v>1177734</v>
      </c>
      <c r="I56" s="145">
        <v>2120311</v>
      </c>
      <c r="J56" s="146">
        <v>5999942</v>
      </c>
      <c r="K56" s="145">
        <v>9297987</v>
      </c>
      <c r="L56" s="144"/>
      <c r="M56" s="145">
        <v>13530</v>
      </c>
      <c r="N56" s="145">
        <v>13552</v>
      </c>
      <c r="O56" s="145">
        <v>13563</v>
      </c>
    </row>
    <row r="57" spans="5:15" s="136" customFormat="1" ht="15" customHeight="1" x14ac:dyDescent="0.3">
      <c r="E57" s="142"/>
      <c r="F57" s="143" t="s">
        <v>298</v>
      </c>
      <c r="G57" s="144"/>
      <c r="H57" s="145">
        <v>1321461</v>
      </c>
      <c r="I57" s="145">
        <v>2292269</v>
      </c>
      <c r="J57" s="146">
        <v>5198730</v>
      </c>
      <c r="K57" s="145">
        <v>8812460</v>
      </c>
      <c r="L57" s="144"/>
      <c r="M57" s="145">
        <v>13496</v>
      </c>
      <c r="N57" s="145">
        <v>13468</v>
      </c>
      <c r="O57" s="145">
        <v>13597</v>
      </c>
    </row>
    <row r="58" spans="5:15" s="136" customFormat="1" ht="15" customHeight="1" x14ac:dyDescent="0.3">
      <c r="E58" s="142"/>
      <c r="F58" s="143" t="s">
        <v>299</v>
      </c>
      <c r="G58" s="144"/>
      <c r="H58" s="145">
        <v>1265125</v>
      </c>
      <c r="I58" s="145">
        <v>2242079</v>
      </c>
      <c r="J58" s="146">
        <v>5950356</v>
      </c>
      <c r="K58" s="145">
        <v>9457561</v>
      </c>
      <c r="L58" s="144"/>
      <c r="M58" s="145">
        <v>13451</v>
      </c>
      <c r="N58" s="145">
        <v>13446</v>
      </c>
      <c r="O58" s="145">
        <v>13513</v>
      </c>
    </row>
    <row r="59" spans="5:15" s="136" customFormat="1" ht="15" customHeight="1" x14ac:dyDescent="0.3">
      <c r="E59" s="142"/>
      <c r="F59" s="143" t="s">
        <v>300</v>
      </c>
      <c r="G59" s="144"/>
      <c r="H59" s="145">
        <v>1231129</v>
      </c>
      <c r="I59" s="145">
        <v>2227278</v>
      </c>
      <c r="J59" s="146">
        <v>5253189</v>
      </c>
      <c r="K59" s="145">
        <v>8711596</v>
      </c>
      <c r="L59" s="144"/>
      <c r="M59" s="145">
        <v>13574</v>
      </c>
      <c r="N59" s="145">
        <v>13569</v>
      </c>
      <c r="O59" s="145">
        <v>13586</v>
      </c>
    </row>
    <row r="60" spans="5:15" s="136" customFormat="1" ht="15" customHeight="1" x14ac:dyDescent="0.3">
      <c r="E60" s="142"/>
      <c r="F60" s="143" t="s">
        <v>301</v>
      </c>
      <c r="G60" s="144"/>
      <c r="H60" s="145">
        <v>1398844</v>
      </c>
      <c r="I60" s="145">
        <v>2510581</v>
      </c>
      <c r="J60" s="146">
        <v>5956337</v>
      </c>
      <c r="K60" s="145">
        <v>9865763</v>
      </c>
      <c r="L60" s="144"/>
      <c r="M60" s="145">
        <v>13608</v>
      </c>
      <c r="N60" s="145">
        <v>13658</v>
      </c>
      <c r="O60" s="145">
        <v>13714</v>
      </c>
    </row>
    <row r="61" spans="5:15" s="136" customFormat="1" ht="15" customHeight="1" x14ac:dyDescent="0.3">
      <c r="E61" s="142"/>
      <c r="F61" s="143" t="s">
        <v>302</v>
      </c>
      <c r="G61" s="144"/>
      <c r="H61" s="145">
        <v>1401728</v>
      </c>
      <c r="I61" s="145">
        <v>2485794</v>
      </c>
      <c r="J61" s="146">
        <v>5296916</v>
      </c>
      <c r="K61" s="145">
        <v>9184439</v>
      </c>
      <c r="L61" s="144"/>
      <c r="M61" s="145">
        <v>13546</v>
      </c>
      <c r="N61" s="145">
        <v>13563</v>
      </c>
      <c r="O61" s="145">
        <v>13541</v>
      </c>
    </row>
    <row r="62" spans="5:15" s="136" customFormat="1" ht="15" customHeight="1" x14ac:dyDescent="0.3">
      <c r="E62" s="142"/>
      <c r="F62" s="143" t="s">
        <v>303</v>
      </c>
      <c r="G62" s="144"/>
      <c r="H62" s="145">
        <v>1567857</v>
      </c>
      <c r="I62" s="145">
        <v>2031316</v>
      </c>
      <c r="J62" s="146">
        <v>5995067</v>
      </c>
      <c r="K62" s="145">
        <v>9594240</v>
      </c>
      <c r="L62" s="144"/>
      <c r="M62" s="145">
        <v>13563</v>
      </c>
      <c r="N62" s="145">
        <v>14011</v>
      </c>
      <c r="O62" s="145">
        <v>13821</v>
      </c>
    </row>
    <row r="63" spans="5:15" s="136" customFormat="1" ht="15" customHeight="1" x14ac:dyDescent="0.3">
      <c r="E63" s="142"/>
      <c r="F63" s="143" t="s">
        <v>304</v>
      </c>
      <c r="G63" s="144"/>
      <c r="H63" s="145">
        <v>1737012</v>
      </c>
      <c r="I63" s="145">
        <v>2331462</v>
      </c>
      <c r="J63" s="146">
        <v>5474243</v>
      </c>
      <c r="K63" s="145">
        <v>9542717</v>
      </c>
      <c r="L63" s="144"/>
      <c r="M63" s="145">
        <v>13586</v>
      </c>
      <c r="N63" s="145">
        <v>13597</v>
      </c>
      <c r="O63" s="145">
        <v>13619</v>
      </c>
    </row>
    <row r="64" spans="5:15" s="136" customFormat="1" ht="15" customHeight="1" x14ac:dyDescent="0.3">
      <c r="E64" s="142"/>
      <c r="F64" s="143" t="s">
        <v>305</v>
      </c>
      <c r="G64" s="144"/>
      <c r="H64" s="145">
        <v>1809218</v>
      </c>
      <c r="I64" s="145">
        <v>2428201</v>
      </c>
      <c r="J64" s="146">
        <v>5549387</v>
      </c>
      <c r="K64" s="145">
        <v>9786806</v>
      </c>
      <c r="L64" s="144"/>
      <c r="M64" s="145">
        <v>13479</v>
      </c>
      <c r="N64" s="145">
        <v>13513</v>
      </c>
      <c r="O64" s="145">
        <v>13530</v>
      </c>
    </row>
    <row r="65" spans="5:15" s="136" customFormat="1" ht="15" customHeight="1" x14ac:dyDescent="0.3">
      <c r="E65" s="142"/>
      <c r="F65" s="143" t="s">
        <v>306</v>
      </c>
      <c r="G65" s="144"/>
      <c r="H65" s="145">
        <v>1667870</v>
      </c>
      <c r="I65" s="145">
        <v>2240504</v>
      </c>
      <c r="J65" s="146">
        <v>5976846</v>
      </c>
      <c r="K65" s="145">
        <v>9885220</v>
      </c>
      <c r="L65" s="144"/>
      <c r="M65" s="145">
        <v>13518</v>
      </c>
      <c r="N65" s="145">
        <v>13552</v>
      </c>
      <c r="O65" s="145">
        <v>13580</v>
      </c>
    </row>
    <row r="66" spans="5:15" s="136" customFormat="1" ht="15" customHeight="1" x14ac:dyDescent="0.3">
      <c r="E66" s="142"/>
      <c r="F66" s="143" t="s">
        <v>307</v>
      </c>
      <c r="G66" s="144"/>
      <c r="H66" s="145">
        <v>1672231</v>
      </c>
      <c r="I66" s="145">
        <v>2246180</v>
      </c>
      <c r="J66" s="146">
        <v>5668933</v>
      </c>
      <c r="K66" s="145">
        <v>9587344</v>
      </c>
      <c r="L66" s="144"/>
      <c r="M66" s="145">
        <v>13530</v>
      </c>
      <c r="N66" s="145">
        <v>13569</v>
      </c>
      <c r="O66" s="145">
        <v>13546</v>
      </c>
    </row>
    <row r="67" spans="5:15" s="136" customFormat="1" ht="15" customHeight="1" x14ac:dyDescent="0.3">
      <c r="E67" s="142"/>
      <c r="F67" s="143" t="s">
        <v>308</v>
      </c>
      <c r="G67" s="144"/>
      <c r="H67" s="145">
        <v>1593986</v>
      </c>
      <c r="I67" s="145">
        <v>2134727</v>
      </c>
      <c r="J67" s="146">
        <v>5921448</v>
      </c>
      <c r="K67" s="145">
        <v>9650162</v>
      </c>
      <c r="L67" s="144"/>
      <c r="M67" s="145">
        <v>13574</v>
      </c>
      <c r="N67" s="145">
        <v>13580</v>
      </c>
      <c r="O67" s="145">
        <v>13546</v>
      </c>
    </row>
    <row r="68" spans="5:15" s="136" customFormat="1" ht="15" customHeight="1" x14ac:dyDescent="0.3">
      <c r="E68" s="142"/>
      <c r="F68" s="143" t="s">
        <v>309</v>
      </c>
      <c r="G68" s="144"/>
      <c r="H68" s="145">
        <v>1267051</v>
      </c>
      <c r="I68" s="145">
        <v>2279124</v>
      </c>
      <c r="J68" s="146">
        <v>6063058</v>
      </c>
      <c r="K68" s="145">
        <v>9609234</v>
      </c>
      <c r="L68" s="144"/>
      <c r="M68" s="145">
        <v>13658</v>
      </c>
      <c r="N68" s="145">
        <v>13754</v>
      </c>
      <c r="O68" s="145">
        <v>13737</v>
      </c>
    </row>
    <row r="69" spans="5:15" s="136" customFormat="1" ht="15" customHeight="1" x14ac:dyDescent="0.3">
      <c r="E69" s="142"/>
      <c r="F69" s="143" t="s">
        <v>310</v>
      </c>
      <c r="G69" s="144"/>
      <c r="H69" s="145">
        <v>1473932</v>
      </c>
      <c r="I69" s="145">
        <v>2646225</v>
      </c>
      <c r="J69" s="146">
        <v>5834042</v>
      </c>
      <c r="K69" s="145">
        <v>9954200</v>
      </c>
      <c r="L69" s="144"/>
      <c r="M69" s="145">
        <v>13714</v>
      </c>
      <c r="N69" s="145">
        <v>13731</v>
      </c>
      <c r="O69" s="145">
        <v>13782</v>
      </c>
    </row>
    <row r="70" spans="5:15" s="136" customFormat="1" ht="15" customHeight="1" x14ac:dyDescent="0.3">
      <c r="E70" s="142"/>
      <c r="F70" s="143" t="s">
        <v>311</v>
      </c>
      <c r="G70" s="144"/>
      <c r="H70" s="145">
        <v>1272590</v>
      </c>
      <c r="I70" s="145">
        <v>2286053</v>
      </c>
      <c r="J70" s="146">
        <v>6383409</v>
      </c>
      <c r="K70" s="145">
        <v>9942052</v>
      </c>
      <c r="L70" s="144"/>
      <c r="M70" s="145">
        <v>13703</v>
      </c>
      <c r="N70" s="145">
        <v>13692</v>
      </c>
      <c r="O70" s="145">
        <v>13714</v>
      </c>
    </row>
    <row r="71" spans="5:15" s="136" customFormat="1" ht="15" customHeight="1" x14ac:dyDescent="0.3">
      <c r="E71" s="142"/>
      <c r="F71" s="143" t="s">
        <v>312</v>
      </c>
      <c r="G71" s="144"/>
      <c r="H71" s="145">
        <v>1303947</v>
      </c>
      <c r="I71" s="145">
        <v>2361075</v>
      </c>
      <c r="J71" s="146">
        <v>5468244</v>
      </c>
      <c r="K71" s="145">
        <v>9133266</v>
      </c>
      <c r="L71" s="144"/>
      <c r="M71" s="145">
        <v>13681</v>
      </c>
      <c r="N71" s="145">
        <v>13642</v>
      </c>
      <c r="O71" s="145">
        <v>13642</v>
      </c>
    </row>
    <row r="72" spans="5:15" s="136" customFormat="1" ht="15" customHeight="1" x14ac:dyDescent="0.3">
      <c r="E72" s="142"/>
      <c r="F72" s="143" t="s">
        <v>313</v>
      </c>
      <c r="G72" s="144"/>
      <c r="H72" s="145">
        <v>1356296</v>
      </c>
      <c r="I72" s="145">
        <v>2409719</v>
      </c>
      <c r="J72" s="146">
        <v>5641574</v>
      </c>
      <c r="K72" s="145">
        <v>9407589</v>
      </c>
      <c r="L72" s="144"/>
      <c r="M72" s="145">
        <v>13854</v>
      </c>
      <c r="N72" s="145">
        <v>13821</v>
      </c>
      <c r="O72" s="145">
        <v>13894</v>
      </c>
    </row>
    <row r="73" spans="5:15" s="136" customFormat="1" ht="15" customHeight="1" x14ac:dyDescent="0.3">
      <c r="E73" s="142"/>
      <c r="F73" s="143" t="s">
        <v>314</v>
      </c>
      <c r="G73" s="144"/>
      <c r="H73" s="145">
        <v>1354347</v>
      </c>
      <c r="I73" s="145">
        <v>2423399</v>
      </c>
      <c r="J73" s="146">
        <v>5560710</v>
      </c>
      <c r="K73" s="145">
        <v>9338456</v>
      </c>
      <c r="L73" s="144"/>
      <c r="M73" s="145">
        <v>13563</v>
      </c>
      <c r="N73" s="145">
        <v>13530</v>
      </c>
      <c r="O73" s="145">
        <v>13558</v>
      </c>
    </row>
    <row r="74" spans="5:15" s="136" customFormat="1" ht="15" customHeight="1" x14ac:dyDescent="0.3">
      <c r="E74" s="142"/>
      <c r="F74" s="143" t="s">
        <v>315</v>
      </c>
      <c r="G74" s="144"/>
      <c r="H74" s="145">
        <v>1613263</v>
      </c>
      <c r="I74" s="145">
        <v>2188054</v>
      </c>
      <c r="J74" s="146">
        <v>5917358</v>
      </c>
      <c r="K74" s="145">
        <v>9718676</v>
      </c>
      <c r="L74" s="144"/>
      <c r="M74" s="145">
        <v>13770</v>
      </c>
      <c r="N74" s="145">
        <v>13826</v>
      </c>
      <c r="O74" s="145">
        <v>13782</v>
      </c>
    </row>
    <row r="75" spans="5:15" s="136" customFormat="1" ht="15" customHeight="1" x14ac:dyDescent="0.3">
      <c r="E75" s="142"/>
      <c r="F75" s="143" t="s">
        <v>316</v>
      </c>
      <c r="G75" s="144"/>
      <c r="H75" s="145">
        <v>1769317</v>
      </c>
      <c r="I75" s="145">
        <v>2356445</v>
      </c>
      <c r="J75" s="146">
        <v>5519243</v>
      </c>
      <c r="K75" s="145">
        <v>9645005</v>
      </c>
      <c r="L75" s="144"/>
      <c r="M75" s="145">
        <v>13742</v>
      </c>
      <c r="N75" s="145">
        <v>13726</v>
      </c>
      <c r="O75" s="145">
        <v>13776</v>
      </c>
    </row>
    <row r="76" spans="5:15" s="136" customFormat="1" ht="15" customHeight="1" x14ac:dyDescent="0.3">
      <c r="E76" s="142"/>
      <c r="F76" s="143" t="s">
        <v>317</v>
      </c>
      <c r="G76" s="144"/>
      <c r="H76" s="145">
        <v>1562076</v>
      </c>
      <c r="I76" s="145">
        <v>2100531</v>
      </c>
      <c r="J76" s="146">
        <v>6168678</v>
      </c>
      <c r="K76" s="145">
        <v>9831285</v>
      </c>
      <c r="L76" s="144"/>
      <c r="M76" s="145">
        <v>13770</v>
      </c>
      <c r="N76" s="145">
        <v>13810</v>
      </c>
      <c r="O76" s="145">
        <v>13871</v>
      </c>
    </row>
    <row r="77" spans="5:15" s="136" customFormat="1" ht="15" customHeight="1" x14ac:dyDescent="0.3">
      <c r="E77" s="142"/>
      <c r="F77" s="143" t="s">
        <v>318</v>
      </c>
      <c r="G77" s="144"/>
      <c r="H77" s="145">
        <v>1866055</v>
      </c>
      <c r="I77" s="145">
        <v>2484189</v>
      </c>
      <c r="J77" s="146">
        <v>5716213</v>
      </c>
      <c r="K77" s="145">
        <v>10066459</v>
      </c>
      <c r="L77" s="144"/>
      <c r="M77" s="145">
        <v>13754</v>
      </c>
      <c r="N77" s="145">
        <v>13815</v>
      </c>
      <c r="O77" s="145">
        <v>13826</v>
      </c>
    </row>
    <row r="78" spans="5:15" s="136" customFormat="1" ht="15" customHeight="1" x14ac:dyDescent="0.3">
      <c r="E78" s="142"/>
      <c r="F78" s="143" t="s">
        <v>319</v>
      </c>
      <c r="G78" s="144"/>
      <c r="H78" s="145">
        <v>1687039</v>
      </c>
      <c r="I78" s="145">
        <v>2241698</v>
      </c>
      <c r="J78" s="146">
        <v>5702255</v>
      </c>
      <c r="K78" s="145">
        <v>9630993</v>
      </c>
      <c r="L78" s="144"/>
      <c r="M78" s="145">
        <v>13653</v>
      </c>
      <c r="N78" s="145">
        <v>13703</v>
      </c>
      <c r="O78" s="145">
        <v>13742</v>
      </c>
    </row>
    <row r="79" spans="5:15" s="136" customFormat="1" ht="15" customHeight="1" x14ac:dyDescent="0.3">
      <c r="E79" s="142"/>
      <c r="F79" s="143" t="s">
        <v>320</v>
      </c>
      <c r="G79" s="144"/>
      <c r="H79" s="145">
        <v>1559548</v>
      </c>
      <c r="I79" s="145">
        <v>2081050</v>
      </c>
      <c r="J79" s="146">
        <v>6181624</v>
      </c>
      <c r="K79" s="145">
        <v>9822222</v>
      </c>
      <c r="L79" s="144"/>
      <c r="M79" s="145">
        <v>13770</v>
      </c>
      <c r="N79" s="145">
        <v>13793</v>
      </c>
      <c r="O79" s="145">
        <v>13793</v>
      </c>
    </row>
    <row r="80" spans="5:15" s="136" customFormat="1" ht="15" customHeight="1" x14ac:dyDescent="0.3">
      <c r="F80" s="143" t="s">
        <v>321</v>
      </c>
      <c r="G80" s="144"/>
      <c r="H80" s="145">
        <v>1312089</v>
      </c>
      <c r="I80" s="145">
        <v>2369340</v>
      </c>
      <c r="J80" s="146">
        <v>5784972</v>
      </c>
      <c r="K80" s="145">
        <v>9466402</v>
      </c>
      <c r="L80" s="144"/>
      <c r="M80" s="145">
        <v>13658</v>
      </c>
      <c r="N80" s="145">
        <v>13703</v>
      </c>
      <c r="O80" s="145">
        <v>13709</v>
      </c>
    </row>
    <row r="81" spans="1:15" s="136" customFormat="1" ht="12" customHeight="1" x14ac:dyDescent="0.3"/>
    <row r="82" spans="1:15" s="136" customFormat="1" ht="13.5" customHeight="1" x14ac:dyDescent="0.3">
      <c r="H82" s="135" t="s">
        <v>285</v>
      </c>
      <c r="I82" s="135"/>
      <c r="J82" s="135"/>
      <c r="K82" s="140" t="s">
        <v>322</v>
      </c>
      <c r="M82" s="135" t="s">
        <v>323</v>
      </c>
      <c r="N82" s="135"/>
      <c r="O82" s="135"/>
    </row>
    <row r="83" spans="1:15" s="136" customFormat="1" ht="9.75" customHeight="1" x14ac:dyDescent="0.3">
      <c r="A83" s="138" t="s">
        <v>278</v>
      </c>
      <c r="B83" s="138" t="s">
        <v>279</v>
      </c>
      <c r="C83" s="138"/>
      <c r="D83" s="138" t="s">
        <v>280</v>
      </c>
      <c r="F83" s="139" t="s">
        <v>281</v>
      </c>
      <c r="H83" s="147" t="s">
        <v>282</v>
      </c>
      <c r="I83" s="147" t="s">
        <v>283</v>
      </c>
      <c r="J83" s="135" t="s">
        <v>284</v>
      </c>
      <c r="K83" s="139" t="s">
        <v>285</v>
      </c>
      <c r="M83" s="147" t="s">
        <v>282</v>
      </c>
      <c r="N83" s="147" t="s">
        <v>283</v>
      </c>
      <c r="O83" s="147" t="s">
        <v>284</v>
      </c>
    </row>
    <row r="84" spans="1:15" s="136" customFormat="1" ht="2.25" customHeight="1" x14ac:dyDescent="0.3"/>
    <row r="85" spans="1:15" s="136" customFormat="1" ht="32.25" customHeight="1" x14ac:dyDescent="0.3">
      <c r="A85" s="135" t="s">
        <v>324</v>
      </c>
      <c r="B85" s="135"/>
      <c r="C85" s="135"/>
      <c r="D85" s="135"/>
      <c r="E85" s="135"/>
      <c r="F85" s="135"/>
      <c r="G85" s="135"/>
      <c r="H85" s="135"/>
      <c r="I85" s="135"/>
      <c r="J85" s="135"/>
      <c r="K85" s="148">
        <v>343771015</v>
      </c>
    </row>
    <row r="86" spans="1:15" s="136" customFormat="1" ht="13.5" customHeight="1" x14ac:dyDescent="0.3">
      <c r="A86" s="135"/>
    </row>
    <row r="87" spans="1:15" s="136" customFormat="1" ht="10.5" customHeight="1" x14ac:dyDescent="0.3">
      <c r="A87" s="141"/>
      <c r="B87" s="141"/>
      <c r="C87" s="141"/>
      <c r="D87" s="141"/>
    </row>
    <row r="88" spans="1:15" s="136" customFormat="1" ht="1.5" customHeight="1" x14ac:dyDescent="0.3"/>
    <row r="89" spans="1:15" s="136" customFormat="1" ht="13.2" x14ac:dyDescent="0.3">
      <c r="A89" s="141"/>
      <c r="F89" s="149"/>
      <c r="H89" s="150"/>
      <c r="I89" s="150"/>
      <c r="J89" s="151"/>
      <c r="K89" s="150"/>
      <c r="M89" s="150"/>
      <c r="N89" s="150"/>
      <c r="O89" s="150"/>
    </row>
  </sheetData>
  <mergeCells count="7">
    <mergeCell ref="A8:C8"/>
    <mergeCell ref="A9:C9"/>
    <mergeCell ref="A38:O38"/>
    <mergeCell ref="A20:G20"/>
    <mergeCell ref="A22:C22"/>
    <mergeCell ref="E22:G22"/>
    <mergeCell ref="A30:C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31</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60" x14ac:dyDescent="0.35">
      <c r="A3" s="99" t="s">
        <v>166</v>
      </c>
      <c r="B3" s="61">
        <v>59683.3</v>
      </c>
      <c r="C3" s="65">
        <f>B3*(1+$N$8)</f>
        <v>59928.374583916506</v>
      </c>
      <c r="D3" s="65">
        <f>C3*(1+$N$8)</f>
        <v>60174.45550547992</v>
      </c>
      <c r="E3" s="65">
        <f>D3*(1+$N$8)</f>
        <v>60421.54689696477</v>
      </c>
      <c r="F3" s="65">
        <f>E3*(1+$N$8)</f>
        <v>60669.65290761373</v>
      </c>
      <c r="G3" s="65">
        <f>F3*(1+$N$8)</f>
        <v>60918.77770370731</v>
      </c>
      <c r="H3" s="65">
        <f t="shared" ref="H3:K4" si="0">G3*(1+$N$8)</f>
        <v>61168.925468633817</v>
      </c>
      <c r="I3" s="65">
        <f t="shared" si="0"/>
        <v>61420.100402959586</v>
      </c>
      <c r="J3" s="65">
        <f t="shared" si="0"/>
        <v>61672.306724499533</v>
      </c>
      <c r="K3" s="65">
        <f t="shared" si="0"/>
        <v>61925.548668387986</v>
      </c>
      <c r="L3" s="105" t="s">
        <v>262</v>
      </c>
      <c r="N3" s="62">
        <v>0.91839999999999999</v>
      </c>
      <c r="O3" s="8" t="s">
        <v>199</v>
      </c>
    </row>
    <row r="4" spans="1:18" s="58" customFormat="1" ht="59.4" x14ac:dyDescent="0.3">
      <c r="A4" s="99" t="s">
        <v>167</v>
      </c>
      <c r="B4" s="61">
        <v>54170.396999999997</v>
      </c>
      <c r="C4" s="65">
        <f>B4*(1+$N$8)</f>
        <v>54392.83422289764</v>
      </c>
      <c r="D4" s="65">
        <f t="shared" ref="D4:G4" si="1">C4*(1+$N$8)</f>
        <v>54616.18482876588</v>
      </c>
      <c r="E4" s="65">
        <f t="shared" si="1"/>
        <v>54840.452568184053</v>
      </c>
      <c r="F4" s="65">
        <f t="shared" si="1"/>
        <v>55065.641207132307</v>
      </c>
      <c r="G4" s="65">
        <f t="shared" si="1"/>
        <v>55291.754527054858</v>
      </c>
      <c r="H4" s="65">
        <f t="shared" si="0"/>
        <v>55518.796324923467</v>
      </c>
      <c r="I4" s="65">
        <f t="shared" si="0"/>
        <v>55746.770413301216</v>
      </c>
      <c r="J4" s="65">
        <f t="shared" si="0"/>
        <v>55975.680620406529</v>
      </c>
      <c r="K4" s="65">
        <f t="shared" si="0"/>
        <v>56205.530790177458</v>
      </c>
      <c r="L4" s="105" t="s">
        <v>264</v>
      </c>
      <c r="N4" s="68">
        <f>0.15</f>
        <v>0.15</v>
      </c>
      <c r="O4" s="84" t="s">
        <v>165</v>
      </c>
    </row>
    <row r="5" spans="1:18" s="58" customFormat="1" ht="28.8" x14ac:dyDescent="0.3">
      <c r="A5" s="99" t="s">
        <v>191</v>
      </c>
      <c r="B5" s="61">
        <f>IF(0&lt;(B3-B4)/B3,B4,B3*(1-$N$5))</f>
        <v>54170.396999999997</v>
      </c>
      <c r="C5" s="61">
        <f t="shared" ref="C5:K5" si="2">IF(0&lt;(C3-C4)/C3,C4,C3*(1-$N$5))</f>
        <v>54392.83422289764</v>
      </c>
      <c r="D5" s="61">
        <f t="shared" si="2"/>
        <v>54616.18482876588</v>
      </c>
      <c r="E5" s="61">
        <f t="shared" si="2"/>
        <v>54840.452568184053</v>
      </c>
      <c r="F5" s="61">
        <f t="shared" si="2"/>
        <v>55065.641207132307</v>
      </c>
      <c r="G5" s="61">
        <f t="shared" si="2"/>
        <v>55291.754527054858</v>
      </c>
      <c r="H5" s="61">
        <f t="shared" si="2"/>
        <v>55518.796324923467</v>
      </c>
      <c r="I5" s="61">
        <f t="shared" si="2"/>
        <v>55746.770413301216</v>
      </c>
      <c r="J5" s="61">
        <f t="shared" si="2"/>
        <v>55975.680620406529</v>
      </c>
      <c r="K5" s="61">
        <f t="shared" si="2"/>
        <v>56205.530790177458</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222</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228</v>
      </c>
      <c r="O7" s="101"/>
    </row>
    <row r="8" spans="1:18" s="58" customFormat="1" x14ac:dyDescent="0.3">
      <c r="A8" s="99" t="s">
        <v>170</v>
      </c>
      <c r="B8" s="61">
        <v>0</v>
      </c>
      <c r="C8" s="61">
        <v>0</v>
      </c>
      <c r="D8" s="61">
        <v>0</v>
      </c>
      <c r="E8" s="61">
        <v>0</v>
      </c>
      <c r="F8" s="61">
        <v>0</v>
      </c>
      <c r="G8" s="61">
        <v>0</v>
      </c>
      <c r="H8" s="61">
        <v>0</v>
      </c>
      <c r="I8" s="61">
        <v>0</v>
      </c>
      <c r="J8" s="61">
        <v>0</v>
      </c>
      <c r="K8" s="61">
        <v>0</v>
      </c>
      <c r="L8" s="112" t="s">
        <v>227</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16251.119099999998</v>
      </c>
      <c r="C10" s="61">
        <f t="shared" ref="C10:K10" si="3">C5*C9</f>
        <v>16861.77860909827</v>
      </c>
      <c r="D10" s="61">
        <f t="shared" si="3"/>
        <v>18023.34099349274</v>
      </c>
      <c r="E10" s="61">
        <f t="shared" si="3"/>
        <v>19194.158398864416</v>
      </c>
      <c r="F10" s="61">
        <f t="shared" si="3"/>
        <v>20374.287246638953</v>
      </c>
      <c r="G10" s="61">
        <f t="shared" si="3"/>
        <v>21010.866720280846</v>
      </c>
      <c r="H10" s="61">
        <f t="shared" si="3"/>
        <v>22207.518529969388</v>
      </c>
      <c r="I10" s="61">
        <f t="shared" si="3"/>
        <v>23413.643573586509</v>
      </c>
      <c r="J10" s="61">
        <f t="shared" si="3"/>
        <v>24069.542666774807</v>
      </c>
      <c r="K10" s="61">
        <f t="shared" si="3"/>
        <v>25292.488855579857</v>
      </c>
      <c r="L10" s="84" t="s">
        <v>376</v>
      </c>
      <c r="N10" s="122"/>
      <c r="O10" s="60"/>
    </row>
    <row r="11" spans="1:18" s="58" customFormat="1" ht="28.8" x14ac:dyDescent="0.3">
      <c r="A11" s="99" t="s">
        <v>172</v>
      </c>
      <c r="B11" s="61">
        <f t="shared" ref="B11:K11" si="4">MAX(B3-SUM(B6:B8,B10), B3*$N$6)</f>
        <v>43432.180900000007</v>
      </c>
      <c r="C11" s="61">
        <f t="shared" si="4"/>
        <v>43066.595974818236</v>
      </c>
      <c r="D11" s="61">
        <f t="shared" si="4"/>
        <v>42151.11451198718</v>
      </c>
      <c r="E11" s="61">
        <f t="shared" si="4"/>
        <v>41227.38849810035</v>
      </c>
      <c r="F11" s="61">
        <f t="shared" si="4"/>
        <v>40295.365660974778</v>
      </c>
      <c r="G11" s="61">
        <f t="shared" si="4"/>
        <v>39907.910983426467</v>
      </c>
      <c r="H11" s="61">
        <f t="shared" si="4"/>
        <v>38961.406938664426</v>
      </c>
      <c r="I11" s="61">
        <f t="shared" si="4"/>
        <v>38006.456829373077</v>
      </c>
      <c r="J11" s="61">
        <f t="shared" si="4"/>
        <v>37602.764057724722</v>
      </c>
      <c r="K11" s="61">
        <f t="shared" si="4"/>
        <v>36633.059812808133</v>
      </c>
      <c r="L11" s="84" t="s">
        <v>203</v>
      </c>
    </row>
    <row r="12" spans="1:18" s="58" customFormat="1" ht="43.8" x14ac:dyDescent="0.35">
      <c r="A12" s="99" t="s">
        <v>194</v>
      </c>
      <c r="B12" s="61">
        <f t="shared" ref="B12:K12" si="5">B6*$N$3+B11*$N$2</f>
        <v>18910.371563860004</v>
      </c>
      <c r="C12" s="61">
        <f t="shared" si="5"/>
        <v>18751.195887435861</v>
      </c>
      <c r="D12" s="61">
        <f t="shared" si="5"/>
        <v>18352.595258519217</v>
      </c>
      <c r="E12" s="61">
        <f t="shared" si="5"/>
        <v>17950.404952072891</v>
      </c>
      <c r="F12" s="61">
        <f t="shared" si="5"/>
        <v>17544.602208788419</v>
      </c>
      <c r="G12" s="61">
        <f t="shared" si="5"/>
        <v>17375.904442183884</v>
      </c>
      <c r="H12" s="61">
        <f t="shared" si="5"/>
        <v>16963.796581094492</v>
      </c>
      <c r="I12" s="61">
        <f t="shared" si="5"/>
        <v>16548.01130350904</v>
      </c>
      <c r="J12" s="61">
        <f t="shared" si="5"/>
        <v>16372.243470733345</v>
      </c>
      <c r="K12" s="61">
        <f t="shared" si="5"/>
        <v>15950.034242496662</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0.31684527437088772</v>
      </c>
      <c r="C14" s="80">
        <f t="shared" si="6"/>
        <v>0.3128934501832506</v>
      </c>
      <c r="D14" s="80">
        <f t="shared" si="6"/>
        <v>0.30498980180797641</v>
      </c>
      <c r="E14" s="80">
        <f t="shared" si="6"/>
        <v>0.29708615343270228</v>
      </c>
      <c r="F14" s="80">
        <f t="shared" si="6"/>
        <v>0.28918250505742815</v>
      </c>
      <c r="G14" s="80">
        <f t="shared" si="6"/>
        <v>0.28523068086979109</v>
      </c>
      <c r="H14" s="80">
        <f t="shared" si="6"/>
        <v>0.2773270324945169</v>
      </c>
      <c r="I14" s="80">
        <f t="shared" si="6"/>
        <v>0.26942338411924277</v>
      </c>
      <c r="J14" s="80">
        <f t="shared" si="6"/>
        <v>0.26547155993160565</v>
      </c>
      <c r="K14" s="80">
        <f t="shared" si="6"/>
        <v>0.25756791155633157</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18910.371563860004</v>
      </c>
      <c r="C16" s="81">
        <f t="shared" si="8"/>
        <v>18751.195887435861</v>
      </c>
      <c r="D16" s="81">
        <f t="shared" si="8"/>
        <v>18352.595258519217</v>
      </c>
      <c r="E16" s="81">
        <f t="shared" si="8"/>
        <v>17950.404952072891</v>
      </c>
      <c r="F16" s="81">
        <f t="shared" si="8"/>
        <v>17544.602208788419</v>
      </c>
      <c r="G16" s="81">
        <f t="shared" si="8"/>
        <v>17375.904442183884</v>
      </c>
      <c r="H16" s="81">
        <f t="shared" si="8"/>
        <v>16963.796581094492</v>
      </c>
      <c r="I16" s="81">
        <f t="shared" si="8"/>
        <v>16548.01130350904</v>
      </c>
      <c r="J16" s="81">
        <f t="shared" si="8"/>
        <v>16372.243470733345</v>
      </c>
      <c r="K16" s="81">
        <f t="shared" si="8"/>
        <v>15950.034242496662</v>
      </c>
      <c r="L16" s="88" t="s">
        <v>265</v>
      </c>
      <c r="N16" s="58"/>
      <c r="O16" s="58"/>
      <c r="P16" s="58"/>
      <c r="Q16" s="58"/>
      <c r="R16" s="58"/>
    </row>
    <row r="17" spans="1:18" s="121" customFormat="1" x14ac:dyDescent="0.3">
      <c r="A17" s="108" t="s">
        <v>218</v>
      </c>
      <c r="B17" s="109"/>
      <c r="C17" s="82"/>
      <c r="D17" s="82"/>
      <c r="E17" s="82"/>
      <c r="F17" s="82"/>
      <c r="G17" s="82"/>
      <c r="H17" s="82"/>
      <c r="I17" s="82"/>
      <c r="J17" s="82"/>
      <c r="K17" s="82"/>
      <c r="P17" s="58"/>
      <c r="Q17" s="58"/>
      <c r="R17" s="58"/>
    </row>
    <row r="18" spans="1:18" s="121" customFormat="1" ht="16.2" x14ac:dyDescent="0.3">
      <c r="A18" s="121" t="s">
        <v>274</v>
      </c>
      <c r="N18" s="4"/>
      <c r="O18" s="4"/>
    </row>
    <row r="19" spans="1:18" s="121" customFormat="1" x14ac:dyDescent="0.3">
      <c r="A19" s="110" t="s">
        <v>263</v>
      </c>
    </row>
    <row r="20" spans="1:18" x14ac:dyDescent="0.3">
      <c r="A20" s="82"/>
      <c r="B20" s="82"/>
      <c r="C20" s="82"/>
      <c r="D20" s="82"/>
      <c r="E20" s="82"/>
      <c r="F20" s="82"/>
      <c r="G20" s="82"/>
      <c r="H20" s="82"/>
      <c r="I20" s="82"/>
      <c r="J20" s="82"/>
      <c r="K20" s="82"/>
      <c r="P20" s="58"/>
      <c r="Q20" s="58"/>
      <c r="R20" s="58"/>
    </row>
  </sheetData>
  <mergeCells count="3">
    <mergeCell ref="B1:L1"/>
    <mergeCell ref="N1:O1"/>
    <mergeCell ref="B13:J13"/>
  </mergeCells>
  <hyperlinks>
    <hyperlink ref="A19" r:id="rId1"/>
  </hyperlinks>
  <pageMargins left="0.7" right="0.7" top="0.75" bottom="0.75" header="0.3" footer="0.3"/>
  <pageSetup orientation="portrait"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28.8" x14ac:dyDescent="0.3">
      <c r="A1" s="97" t="s">
        <v>175</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f>SUMIFS('Form 1.5a'!J:J, 'Form 1.5a'!$B:$B, "CCSF")*1000</f>
        <v>1144000</v>
      </c>
      <c r="C3" s="61">
        <f>SUMIFS('Form 1.5a'!K:K, 'Form 1.5a'!$B:$B, "CCSF")*1000</f>
        <v>1153000</v>
      </c>
      <c r="D3" s="61">
        <f>SUMIFS('Form 1.5a'!L:L, 'Form 1.5a'!$B:$B, "CCSF")*1000</f>
        <v>1161000</v>
      </c>
      <c r="E3" s="61">
        <f>SUMIFS('Form 1.5a'!M:M, 'Form 1.5a'!$B:$B, "CCSF")*1000</f>
        <v>1166000</v>
      </c>
      <c r="F3" s="65">
        <f>AVERAGE(C3:E3)*(1+$N$8)</f>
        <v>1164816.8948436726</v>
      </c>
      <c r="G3" s="65">
        <f>F3*(1+$N$8)</f>
        <v>1169653.791821772</v>
      </c>
      <c r="H3" s="65">
        <f t="shared" ref="H3:K4" si="0">G3*(1+$N$8)</f>
        <v>1174510.7739930723</v>
      </c>
      <c r="I3" s="65">
        <f t="shared" si="0"/>
        <v>1179387.9247612492</v>
      </c>
      <c r="J3" s="65">
        <f t="shared" si="0"/>
        <v>1184285.3278763115</v>
      </c>
      <c r="K3" s="65">
        <f t="shared" si="0"/>
        <v>1189203.0674360394</v>
      </c>
      <c r="L3" s="84" t="s">
        <v>272</v>
      </c>
      <c r="N3" s="62">
        <v>0.91839999999999999</v>
      </c>
      <c r="O3" s="8" t="s">
        <v>199</v>
      </c>
    </row>
    <row r="4" spans="1:18" s="58" customFormat="1" ht="57.6" x14ac:dyDescent="0.3">
      <c r="A4" s="99" t="s">
        <v>167</v>
      </c>
      <c r="B4" s="61">
        <f>SUMIFS('Form 1.1c'!J:J, 'Form 1.1c'!$B:$B, "City of San Francisco")*1000</f>
        <v>1045000</v>
      </c>
      <c r="C4" s="61">
        <f>SUMIFS('Form 1.1c'!K:K, 'Form 1.1c'!$B:$B, "City of San Francisco")*1000</f>
        <v>1053000</v>
      </c>
      <c r="D4" s="61">
        <f>SUMIFS('Form 1.1c'!L:L, 'Form 1.1c'!$B:$B, "City of San Francisco")*1000</f>
        <v>1061000</v>
      </c>
      <c r="E4" s="61">
        <f>SUMIFS('Form 1.1c'!M:M, 'Form 1.1c'!$B:$B, "City of San Francisco")*1000</f>
        <v>1065000</v>
      </c>
      <c r="F4" s="61">
        <f>SUMIFS('Form 1.1c'!N:N, 'Form 1.1c'!$B:$B, "City of San Francisco")*1000</f>
        <v>1070000</v>
      </c>
      <c r="G4" s="61">
        <f>SUMIFS('Form 1.1c'!O:O, 'Form 1.1c'!$B:$B, "City of San Francisco")*1000</f>
        <v>1074000</v>
      </c>
      <c r="H4" s="61">
        <f>AVERAGE(E4:G4)*(1+$N$8)</f>
        <v>1074108.4527452143</v>
      </c>
      <c r="I4" s="61">
        <f t="shared" si="0"/>
        <v>1078568.6833207088</v>
      </c>
      <c r="J4" s="61">
        <f t="shared" si="0"/>
        <v>1083047.4349838418</v>
      </c>
      <c r="K4" s="61">
        <f t="shared" si="0"/>
        <v>1087544.7846433474</v>
      </c>
      <c r="L4" s="84" t="s">
        <v>211</v>
      </c>
      <c r="N4" s="68">
        <f>0.15</f>
        <v>0.15</v>
      </c>
      <c r="O4" s="84" t="s">
        <v>165</v>
      </c>
    </row>
    <row r="5" spans="1:18" s="58" customFormat="1" ht="28.8" x14ac:dyDescent="0.3">
      <c r="A5" s="99" t="s">
        <v>191</v>
      </c>
      <c r="B5" s="61">
        <f>IF(0&lt;(B3-B4)/B3,B4,B3*(1-$N$5))</f>
        <v>1045000</v>
      </c>
      <c r="C5" s="61">
        <f t="shared" ref="C5:K5" si="1">IF(0&lt;(C3-C4)/C3,C4,C3*(1-$N$5))</f>
        <v>1053000</v>
      </c>
      <c r="D5" s="61">
        <f t="shared" si="1"/>
        <v>1061000</v>
      </c>
      <c r="E5" s="61">
        <f t="shared" si="1"/>
        <v>1065000</v>
      </c>
      <c r="F5" s="61">
        <f t="shared" si="1"/>
        <v>1070000</v>
      </c>
      <c r="G5" s="61">
        <f t="shared" si="1"/>
        <v>1074000</v>
      </c>
      <c r="H5" s="61">
        <f t="shared" si="1"/>
        <v>1074108.4527452143</v>
      </c>
      <c r="I5" s="61">
        <f t="shared" si="1"/>
        <v>1078568.6833207088</v>
      </c>
      <c r="J5" s="61">
        <f t="shared" si="1"/>
        <v>1083047.4349838418</v>
      </c>
      <c r="K5" s="61">
        <f t="shared" si="1"/>
        <v>1087544.7846433474</v>
      </c>
      <c r="L5" s="84" t="s">
        <v>271</v>
      </c>
      <c r="N5" s="68">
        <f>0.07</f>
        <v>7.0000000000000007E-2</v>
      </c>
      <c r="O5" s="84" t="s">
        <v>275</v>
      </c>
    </row>
    <row r="6" spans="1:18" s="58" customFormat="1" x14ac:dyDescent="0.3">
      <c r="A6" s="99" t="s">
        <v>168</v>
      </c>
      <c r="B6" s="61">
        <v>0</v>
      </c>
      <c r="C6" s="61">
        <v>0</v>
      </c>
      <c r="D6" s="61">
        <v>0</v>
      </c>
      <c r="E6" s="61">
        <v>0</v>
      </c>
      <c r="F6" s="61">
        <v>0</v>
      </c>
      <c r="G6" s="61">
        <v>0</v>
      </c>
      <c r="H6" s="61">
        <v>0</v>
      </c>
      <c r="I6" s="61">
        <v>0</v>
      </c>
      <c r="J6" s="61">
        <v>0</v>
      </c>
      <c r="K6" s="61">
        <v>0</v>
      </c>
      <c r="L6" s="112" t="s">
        <v>223</v>
      </c>
      <c r="N6" s="63">
        <v>0.05</v>
      </c>
      <c r="O6" s="84" t="s">
        <v>200</v>
      </c>
    </row>
    <row r="7" spans="1:18" s="58" customFormat="1" x14ac:dyDescent="0.3">
      <c r="A7" s="99" t="s">
        <v>169</v>
      </c>
      <c r="B7" s="61">
        <v>0</v>
      </c>
      <c r="C7" s="61">
        <v>0</v>
      </c>
      <c r="D7" s="61">
        <v>0</v>
      </c>
      <c r="E7" s="61">
        <v>0</v>
      </c>
      <c r="F7" s="61">
        <v>0</v>
      </c>
      <c r="G7" s="61">
        <v>0</v>
      </c>
      <c r="H7" s="61">
        <v>0</v>
      </c>
      <c r="I7" s="61">
        <v>0</v>
      </c>
      <c r="J7" s="61">
        <v>0</v>
      </c>
      <c r="K7" s="61">
        <v>0</v>
      </c>
      <c r="L7" s="112" t="s">
        <v>224</v>
      </c>
      <c r="O7" s="101"/>
    </row>
    <row r="8" spans="1:18" s="58" customFormat="1" ht="28.8" x14ac:dyDescent="0.3">
      <c r="A8" s="99" t="s">
        <v>170</v>
      </c>
      <c r="B8" s="65">
        <v>1293600</v>
      </c>
      <c r="C8" s="65">
        <v>1293600</v>
      </c>
      <c r="D8" s="65">
        <v>1293600</v>
      </c>
      <c r="E8" s="65">
        <v>1293600</v>
      </c>
      <c r="F8" s="61">
        <f>AVERAGE(C8:E8)</f>
        <v>1293600</v>
      </c>
      <c r="G8" s="61">
        <f>F8</f>
        <v>1293600</v>
      </c>
      <c r="H8" s="61">
        <f t="shared" ref="H8:K8" si="2">G8</f>
        <v>1293600</v>
      </c>
      <c r="I8" s="61">
        <f t="shared" si="2"/>
        <v>1293600</v>
      </c>
      <c r="J8" s="61">
        <f t="shared" si="2"/>
        <v>1293600</v>
      </c>
      <c r="K8" s="61">
        <f t="shared" si="2"/>
        <v>1293600</v>
      </c>
      <c r="L8" s="84" t="s">
        <v>230</v>
      </c>
      <c r="N8" s="64">
        <v>4.1524955548901676E-3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313500</v>
      </c>
      <c r="C10" s="61">
        <f t="shared" ref="C10:K10" si="3">C5*C9</f>
        <v>326430</v>
      </c>
      <c r="D10" s="61">
        <f t="shared" si="3"/>
        <v>350130</v>
      </c>
      <c r="E10" s="61">
        <f t="shared" si="3"/>
        <v>372750</v>
      </c>
      <c r="F10" s="61">
        <f t="shared" si="3"/>
        <v>395900</v>
      </c>
      <c r="G10" s="61">
        <f t="shared" si="3"/>
        <v>408120</v>
      </c>
      <c r="H10" s="61">
        <f t="shared" si="3"/>
        <v>429643.38109808578</v>
      </c>
      <c r="I10" s="61">
        <f t="shared" si="3"/>
        <v>452998.8469946977</v>
      </c>
      <c r="J10" s="61">
        <f t="shared" si="3"/>
        <v>465710.39704305201</v>
      </c>
      <c r="K10" s="61">
        <f t="shared" si="3"/>
        <v>489395.15308950632</v>
      </c>
      <c r="L10" s="84" t="s">
        <v>376</v>
      </c>
      <c r="N10" s="122"/>
      <c r="O10" s="60"/>
    </row>
    <row r="11" spans="1:18" s="58" customFormat="1" ht="28.8" x14ac:dyDescent="0.3">
      <c r="A11" s="99" t="s">
        <v>172</v>
      </c>
      <c r="B11" s="61">
        <f t="shared" ref="B11:K11" si="4">MAX(B3-SUM(B6:B8,B10), B3*$N$6)</f>
        <v>57200</v>
      </c>
      <c r="C11" s="61">
        <f t="shared" si="4"/>
        <v>57650</v>
      </c>
      <c r="D11" s="61">
        <f t="shared" si="4"/>
        <v>58050</v>
      </c>
      <c r="E11" s="61">
        <f t="shared" si="4"/>
        <v>58300</v>
      </c>
      <c r="F11" s="61">
        <f t="shared" si="4"/>
        <v>58240.844742183632</v>
      </c>
      <c r="G11" s="61">
        <f t="shared" si="4"/>
        <v>58482.689591088601</v>
      </c>
      <c r="H11" s="61">
        <f t="shared" si="4"/>
        <v>58725.538699653618</v>
      </c>
      <c r="I11" s="61">
        <f t="shared" si="4"/>
        <v>58969.396238062465</v>
      </c>
      <c r="J11" s="61">
        <f t="shared" si="4"/>
        <v>59214.266393815575</v>
      </c>
      <c r="K11" s="61">
        <f t="shared" si="4"/>
        <v>59460.153371801978</v>
      </c>
      <c r="L11" s="84" t="s">
        <v>203</v>
      </c>
    </row>
    <row r="12" spans="1:18" s="58" customFormat="1" ht="43.8" x14ac:dyDescent="0.35">
      <c r="A12" s="99" t="s">
        <v>194</v>
      </c>
      <c r="B12" s="61">
        <f t="shared" ref="B12:K12" si="5">B6*$N$3+B11*$N$2</f>
        <v>24904.880000000001</v>
      </c>
      <c r="C12" s="61">
        <f t="shared" si="5"/>
        <v>25100.81</v>
      </c>
      <c r="D12" s="61">
        <f t="shared" si="5"/>
        <v>25274.97</v>
      </c>
      <c r="E12" s="61">
        <f t="shared" si="5"/>
        <v>25383.82</v>
      </c>
      <c r="F12" s="61">
        <f t="shared" si="5"/>
        <v>25358.063800746753</v>
      </c>
      <c r="G12" s="61">
        <f t="shared" si="5"/>
        <v>25463.363047959978</v>
      </c>
      <c r="H12" s="61">
        <f t="shared" si="5"/>
        <v>25569.099549829185</v>
      </c>
      <c r="I12" s="61">
        <f t="shared" si="5"/>
        <v>25675.275122052397</v>
      </c>
      <c r="J12" s="61">
        <f t="shared" si="5"/>
        <v>25781.891587867303</v>
      </c>
      <c r="K12" s="61">
        <f t="shared" si="5"/>
        <v>25888.950778082581</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2.1770000000000001E-2</v>
      </c>
      <c r="C14" s="80">
        <f t="shared" si="6"/>
        <v>2.1770000000000001E-2</v>
      </c>
      <c r="D14" s="80">
        <f t="shared" si="6"/>
        <v>2.1770000000000001E-2</v>
      </c>
      <c r="E14" s="80">
        <f t="shared" si="6"/>
        <v>2.1770000000000001E-2</v>
      </c>
      <c r="F14" s="80">
        <f t="shared" si="6"/>
        <v>2.1770000000000001E-2</v>
      </c>
      <c r="G14" s="80">
        <f t="shared" si="6"/>
        <v>2.1770000000000001E-2</v>
      </c>
      <c r="H14" s="80">
        <f t="shared" si="6"/>
        <v>2.1770000000000001E-2</v>
      </c>
      <c r="I14" s="80">
        <f t="shared" si="6"/>
        <v>2.1770000000000001E-2</v>
      </c>
      <c r="J14" s="80">
        <f t="shared" si="6"/>
        <v>2.1770000000000001E-2</v>
      </c>
      <c r="K14" s="80">
        <f t="shared" si="6"/>
        <v>2.1770000000000001E-2</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24904.880000000001</v>
      </c>
      <c r="C16" s="81">
        <f t="shared" si="8"/>
        <v>25100.81</v>
      </c>
      <c r="D16" s="81">
        <f t="shared" si="8"/>
        <v>25274.97</v>
      </c>
      <c r="E16" s="81">
        <f t="shared" si="8"/>
        <v>25383.82</v>
      </c>
      <c r="F16" s="81">
        <f t="shared" si="8"/>
        <v>25358.063800746753</v>
      </c>
      <c r="G16" s="81">
        <f t="shared" si="8"/>
        <v>25463.363047959978</v>
      </c>
      <c r="H16" s="81">
        <f t="shared" si="8"/>
        <v>25569.099549829185</v>
      </c>
      <c r="I16" s="81">
        <f t="shared" si="8"/>
        <v>25675.275122052397</v>
      </c>
      <c r="J16" s="81">
        <f t="shared" si="8"/>
        <v>25781.891587867303</v>
      </c>
      <c r="K16" s="81">
        <f t="shared" si="8"/>
        <v>25888.950778082581</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4.4" x14ac:dyDescent="0.3"/>
  <cols>
    <col min="1" max="1" width="37.6640625" customWidth="1"/>
    <col min="2" max="11" width="11" customWidth="1"/>
    <col min="12" max="12" width="49.33203125" customWidth="1"/>
    <col min="14" max="14" width="8.6640625" customWidth="1"/>
    <col min="15" max="15" width="34.109375" customWidth="1"/>
    <col min="17" max="17" width="12.109375" customWidth="1"/>
    <col min="18" max="18" width="14.44140625" customWidth="1"/>
    <col min="19" max="19" width="10.6640625" bestFit="1" customWidth="1"/>
  </cols>
  <sheetData>
    <row r="1" spans="1:16" s="58" customFormat="1" ht="28.8" x14ac:dyDescent="0.3">
      <c r="A1" s="97" t="s">
        <v>176</v>
      </c>
      <c r="B1" s="199" t="s">
        <v>173</v>
      </c>
      <c r="C1" s="200"/>
      <c r="D1" s="200"/>
      <c r="E1" s="200"/>
      <c r="F1" s="200"/>
      <c r="G1" s="200"/>
      <c r="H1" s="200"/>
      <c r="I1" s="200"/>
      <c r="J1" s="200"/>
      <c r="K1" s="200"/>
      <c r="L1" s="201"/>
      <c r="N1" s="202" t="s">
        <v>193</v>
      </c>
      <c r="O1" s="203"/>
      <c r="P1" s="60"/>
    </row>
    <row r="2" spans="1:16"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6" s="58" customFormat="1" ht="58.8" x14ac:dyDescent="0.35">
      <c r="A3" s="99" t="s">
        <v>166</v>
      </c>
      <c r="B3" s="61">
        <f>SUMIFS('Form 1.5a'!J:J, 'Form 1.5a'!$B:$B, "Anaheim")*1000</f>
        <v>2563000</v>
      </c>
      <c r="C3" s="61">
        <f>SUMIFS('Form 1.5a'!K:K, 'Form 1.5a'!$B:$B, "Anaheim")*1000</f>
        <v>2578000</v>
      </c>
      <c r="D3" s="61">
        <f>SUMIFS('Form 1.5a'!L:L, 'Form 1.5a'!$B:$B, "Anaheim")*1000</f>
        <v>2586000</v>
      </c>
      <c r="E3" s="61">
        <f>SUMIFS('Form 1.5a'!M:M, 'Form 1.5a'!$B:$B, "Anaheim")*1000</f>
        <v>2591000</v>
      </c>
      <c r="F3" s="61">
        <f>SUMIFS('Form 1.5a'!N:N, 'Form 1.5a'!$B:$B, "Anaheim")*1000</f>
        <v>2600000</v>
      </c>
      <c r="G3" s="61">
        <f>SUMIFS('Form 1.5a'!O:O, 'Form 1.5a'!$B:$B, "Anaheim")*1000</f>
        <v>2602000</v>
      </c>
      <c r="H3" s="65">
        <f>AVERAGE(E3:G3)*(1+$N$8)</f>
        <v>2608258.2357388325</v>
      </c>
      <c r="I3" s="65">
        <f t="shared" ref="I3:K4" si="0">H3*(1+$N$8)</f>
        <v>2618892.9902346134</v>
      </c>
      <c r="J3" s="65">
        <f t="shared" si="0"/>
        <v>2629571.1062356457</v>
      </c>
      <c r="K3" s="65">
        <f t="shared" si="0"/>
        <v>2640292.7605415098</v>
      </c>
      <c r="L3" s="84" t="s">
        <v>209</v>
      </c>
      <c r="N3" s="62">
        <v>0.91839999999999999</v>
      </c>
      <c r="O3" s="8" t="s">
        <v>199</v>
      </c>
    </row>
    <row r="4" spans="1:16" s="58" customFormat="1" ht="57.6" x14ac:dyDescent="0.3">
      <c r="A4" s="99" t="s">
        <v>167</v>
      </c>
      <c r="B4" s="61">
        <f>SUMIFS('Form 1.1c'!J:J, 'Form 1.1c'!$B:$B, "City of Anaheim")*1000</f>
        <v>2403000</v>
      </c>
      <c r="C4" s="61">
        <f>SUMIFS('Form 1.1c'!K:K, 'Form 1.1c'!$B:$B, "City of Anaheim")*1000</f>
        <v>2418000</v>
      </c>
      <c r="D4" s="61">
        <f>SUMIFS('Form 1.1c'!L:L, 'Form 1.1c'!$B:$B, "City of Anaheim")*1000</f>
        <v>2426000</v>
      </c>
      <c r="E4" s="61">
        <f>SUMIFS('Form 1.1c'!M:M, 'Form 1.1c'!$B:$B, "City of Anaheim")*1000</f>
        <v>2431000</v>
      </c>
      <c r="F4" s="61">
        <f>SUMIFS('Form 1.1c'!N:N, 'Form 1.1c'!$B:$B, "City of Anaheim")*1000</f>
        <v>2439000</v>
      </c>
      <c r="G4" s="61">
        <f>SUMIFS('Form 1.1c'!O:O, 'Form 1.1c'!$B:$B, "City of Anaheim")*1000</f>
        <v>2441000</v>
      </c>
      <c r="H4" s="65">
        <f>AVERAGE(E4:G4)*(1+$N$8)</f>
        <v>2446936.4765156684</v>
      </c>
      <c r="I4" s="61">
        <f t="shared" si="0"/>
        <v>2456913.4674201538</v>
      </c>
      <c r="J4" s="61">
        <f t="shared" si="0"/>
        <v>2466931.1379043763</v>
      </c>
      <c r="K4" s="61">
        <f t="shared" si="0"/>
        <v>2476989.6538327956</v>
      </c>
      <c r="L4" s="84" t="s">
        <v>211</v>
      </c>
      <c r="N4" s="68">
        <f>0.15</f>
        <v>0.15</v>
      </c>
      <c r="O4" s="84" t="s">
        <v>165</v>
      </c>
    </row>
    <row r="5" spans="1:16" s="58" customFormat="1" ht="28.8" x14ac:dyDescent="0.3">
      <c r="A5" s="99" t="s">
        <v>191</v>
      </c>
      <c r="B5" s="61">
        <f>IF(0&lt;(B3-B4)/B3,B4,B3*(1-$N$5))</f>
        <v>2403000</v>
      </c>
      <c r="C5" s="61">
        <f t="shared" ref="C5:K5" si="1">IF(0&lt;(C3-C4)/C3,C4,C3*(1-$N$5))</f>
        <v>2418000</v>
      </c>
      <c r="D5" s="61">
        <f t="shared" si="1"/>
        <v>2426000</v>
      </c>
      <c r="E5" s="61">
        <f t="shared" si="1"/>
        <v>2431000</v>
      </c>
      <c r="F5" s="61">
        <f t="shared" si="1"/>
        <v>2439000</v>
      </c>
      <c r="G5" s="61">
        <f t="shared" si="1"/>
        <v>2441000</v>
      </c>
      <c r="H5" s="61">
        <f t="shared" si="1"/>
        <v>2446936.4765156684</v>
      </c>
      <c r="I5" s="61">
        <f t="shared" si="1"/>
        <v>2456913.4674201538</v>
      </c>
      <c r="J5" s="61">
        <f t="shared" si="1"/>
        <v>2466931.1379043763</v>
      </c>
      <c r="K5" s="61">
        <f t="shared" si="1"/>
        <v>2476989.6538327956</v>
      </c>
      <c r="L5" s="84" t="s">
        <v>271</v>
      </c>
      <c r="N5" s="68">
        <f>0.07</f>
        <v>7.0000000000000007E-2</v>
      </c>
      <c r="O5" s="84" t="s">
        <v>275</v>
      </c>
    </row>
    <row r="6" spans="1:16" s="58" customFormat="1" ht="72" x14ac:dyDescent="0.3">
      <c r="A6" s="99" t="s">
        <v>168</v>
      </c>
      <c r="B6" s="61">
        <v>1625421.5</v>
      </c>
      <c r="C6" s="61">
        <v>1656202</v>
      </c>
      <c r="D6" s="61">
        <v>1612802</v>
      </c>
      <c r="E6" s="61">
        <v>1567160.8199999998</v>
      </c>
      <c r="F6" s="61">
        <v>1524211.6066666667</v>
      </c>
      <c r="G6" s="61">
        <v>1500961.6066666667</v>
      </c>
      <c r="H6" s="61">
        <v>750480.80333333334</v>
      </c>
      <c r="I6" s="61">
        <v>0</v>
      </c>
      <c r="J6" s="61">
        <v>0</v>
      </c>
      <c r="K6" s="61">
        <v>0</v>
      </c>
      <c r="L6" s="112" t="s">
        <v>243</v>
      </c>
      <c r="N6" s="63">
        <v>0.05</v>
      </c>
      <c r="O6" s="84" t="s">
        <v>200</v>
      </c>
    </row>
    <row r="7" spans="1:16" s="58" customFormat="1" x14ac:dyDescent="0.3">
      <c r="A7" s="99" t="s">
        <v>169</v>
      </c>
      <c r="B7" s="61">
        <v>0</v>
      </c>
      <c r="C7" s="61">
        <v>0</v>
      </c>
      <c r="D7" s="61">
        <v>0</v>
      </c>
      <c r="E7" s="61">
        <v>0</v>
      </c>
      <c r="F7" s="61">
        <v>0</v>
      </c>
      <c r="G7" s="61">
        <v>0</v>
      </c>
      <c r="H7" s="61">
        <v>0</v>
      </c>
      <c r="I7" s="61">
        <v>0</v>
      </c>
      <c r="J7" s="61">
        <v>0</v>
      </c>
      <c r="K7" s="61">
        <v>0</v>
      </c>
      <c r="L7" s="111" t="s">
        <v>224</v>
      </c>
      <c r="O7" s="101"/>
    </row>
    <row r="8" spans="1:16" s="58" customFormat="1" ht="28.8" x14ac:dyDescent="0.3">
      <c r="A8" s="99" t="s">
        <v>170</v>
      </c>
      <c r="B8" s="65">
        <v>43318</v>
      </c>
      <c r="C8" s="65">
        <v>43318</v>
      </c>
      <c r="D8" s="65">
        <v>43318</v>
      </c>
      <c r="E8" s="65">
        <v>43439.18</v>
      </c>
      <c r="F8" s="61">
        <f>AVERAGE(C8:E8)</f>
        <v>43358.393333333333</v>
      </c>
      <c r="G8" s="61">
        <f>F8</f>
        <v>43358.393333333333</v>
      </c>
      <c r="H8" s="61">
        <f t="shared" ref="H8:K8" si="2">G8</f>
        <v>43358.393333333333</v>
      </c>
      <c r="I8" s="61">
        <f t="shared" si="2"/>
        <v>43358.393333333333</v>
      </c>
      <c r="J8" s="61">
        <f t="shared" si="2"/>
        <v>43358.393333333333</v>
      </c>
      <c r="K8" s="61">
        <f t="shared" si="2"/>
        <v>43358.393333333333</v>
      </c>
      <c r="L8" s="84" t="s">
        <v>230</v>
      </c>
      <c r="N8" s="64">
        <v>4.0773395632616172E-3</v>
      </c>
      <c r="O8" s="84" t="s">
        <v>202</v>
      </c>
    </row>
    <row r="9" spans="1:16"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6" s="58" customFormat="1" ht="15.6" x14ac:dyDescent="0.3">
      <c r="A10" s="99" t="s">
        <v>171</v>
      </c>
      <c r="B10" s="61">
        <f>B5*B9</f>
        <v>720900</v>
      </c>
      <c r="C10" s="61">
        <f t="shared" ref="C10:K10" si="3">C5*C9</f>
        <v>749580</v>
      </c>
      <c r="D10" s="61">
        <f t="shared" si="3"/>
        <v>800580</v>
      </c>
      <c r="E10" s="61">
        <f t="shared" si="3"/>
        <v>850850</v>
      </c>
      <c r="F10" s="61">
        <f t="shared" si="3"/>
        <v>902430</v>
      </c>
      <c r="G10" s="61">
        <f t="shared" si="3"/>
        <v>927580</v>
      </c>
      <c r="H10" s="61">
        <f t="shared" si="3"/>
        <v>978774.59060626745</v>
      </c>
      <c r="I10" s="61">
        <f t="shared" si="3"/>
        <v>1031903.6563164645</v>
      </c>
      <c r="J10" s="61">
        <f t="shared" si="3"/>
        <v>1060780.3892988819</v>
      </c>
      <c r="K10" s="61">
        <f t="shared" si="3"/>
        <v>1114645.344224758</v>
      </c>
      <c r="L10" s="84" t="s">
        <v>376</v>
      </c>
      <c r="N10" s="122"/>
      <c r="O10" s="60"/>
    </row>
    <row r="11" spans="1:16" s="58" customFormat="1" ht="57.6" x14ac:dyDescent="0.3">
      <c r="A11" s="99" t="s">
        <v>172</v>
      </c>
      <c r="B11" s="61">
        <f>MAX(B3-SUM(B6:B8,B10), B3*$N$6)</f>
        <v>173360.5</v>
      </c>
      <c r="C11" s="61">
        <f t="shared" ref="C11:G11" si="4">C3*$N$6</f>
        <v>128900</v>
      </c>
      <c r="D11" s="61">
        <f t="shared" si="4"/>
        <v>129300</v>
      </c>
      <c r="E11" s="61">
        <f t="shared" si="4"/>
        <v>129550</v>
      </c>
      <c r="F11" s="61">
        <f t="shared" si="4"/>
        <v>130000</v>
      </c>
      <c r="G11" s="61">
        <f t="shared" si="4"/>
        <v>130100</v>
      </c>
      <c r="H11" s="61">
        <f>MAX(H3-SUM(H6:H8,H10), H3*$N$6)</f>
        <v>835644.4484658984</v>
      </c>
      <c r="I11" s="61">
        <f>MAX(I3-SUM(I6:I8,I10), I3*$N$6)</f>
        <v>1543630.9405848156</v>
      </c>
      <c r="J11" s="61">
        <f>MAX(J3-SUM(J6:J8,J10), J3*$N$6)</f>
        <v>1525432.3236034305</v>
      </c>
      <c r="K11" s="61">
        <f>MAX(K3-SUM(K6:K8,K10), K3*$N$6)</f>
        <v>1482289.0229834185</v>
      </c>
      <c r="L11" s="84" t="s">
        <v>373</v>
      </c>
    </row>
    <row r="12" spans="1:16" s="58" customFormat="1" ht="43.8" x14ac:dyDescent="0.35">
      <c r="A12" s="99" t="s">
        <v>194</v>
      </c>
      <c r="B12" s="61">
        <f t="shared" ref="B12:K12" si="5">B6*$N$3+B11*$N$2</f>
        <v>1568268.2672999999</v>
      </c>
      <c r="C12" s="61">
        <f t="shared" si="5"/>
        <v>1577178.9768000001</v>
      </c>
      <c r="D12" s="61">
        <f t="shared" si="5"/>
        <v>1537494.5767999999</v>
      </c>
      <c r="E12" s="61">
        <f t="shared" si="5"/>
        <v>1495686.567088</v>
      </c>
      <c r="F12" s="61">
        <f t="shared" si="5"/>
        <v>1456437.9395626667</v>
      </c>
      <c r="G12" s="61">
        <f t="shared" si="5"/>
        <v>1435128.6795626667</v>
      </c>
      <c r="H12" s="61">
        <f t="shared" si="5"/>
        <v>1053081.1626433856</v>
      </c>
      <c r="I12" s="61">
        <f t="shared" si="5"/>
        <v>672096.91153062868</v>
      </c>
      <c r="J12" s="61">
        <f t="shared" si="5"/>
        <v>664173.23369693372</v>
      </c>
      <c r="K12" s="61">
        <f t="shared" si="5"/>
        <v>645388.64060698042</v>
      </c>
      <c r="L12" s="102" t="s">
        <v>204</v>
      </c>
    </row>
    <row r="13" spans="1:16" s="58" customFormat="1" ht="72" x14ac:dyDescent="0.3">
      <c r="A13" s="99"/>
      <c r="B13" s="204" t="s">
        <v>205</v>
      </c>
      <c r="C13" s="205"/>
      <c r="D13" s="205"/>
      <c r="E13" s="205"/>
      <c r="F13" s="205"/>
      <c r="G13" s="205"/>
      <c r="H13" s="205"/>
      <c r="I13" s="205"/>
      <c r="J13" s="206"/>
      <c r="K13" s="83">
        <v>0</v>
      </c>
      <c r="L13" s="102" t="s">
        <v>368</v>
      </c>
    </row>
    <row r="14" spans="1:16" s="58" customFormat="1" ht="30" x14ac:dyDescent="0.35">
      <c r="A14" s="99" t="s">
        <v>195</v>
      </c>
      <c r="B14" s="80">
        <f t="shared" ref="B14:K14" si="6">B12/B3</f>
        <v>0.61188773597346857</v>
      </c>
      <c r="C14" s="80">
        <f t="shared" si="6"/>
        <v>0.61178393204034143</v>
      </c>
      <c r="D14" s="80">
        <f t="shared" si="6"/>
        <v>0.59454546666666663</v>
      </c>
      <c r="E14" s="80">
        <f t="shared" si="6"/>
        <v>0.57726227984870704</v>
      </c>
      <c r="F14" s="80">
        <f t="shared" si="6"/>
        <v>0.56016843829333329</v>
      </c>
      <c r="G14" s="80">
        <f t="shared" si="6"/>
        <v>0.55154830113861131</v>
      </c>
      <c r="H14" s="80">
        <f t="shared" si="6"/>
        <v>0.40374881145351116</v>
      </c>
      <c r="I14" s="80">
        <f t="shared" si="6"/>
        <v>0.25663397245964559</v>
      </c>
      <c r="J14" s="80">
        <f t="shared" si="6"/>
        <v>0.25257854108677397</v>
      </c>
      <c r="K14" s="80">
        <f t="shared" si="6"/>
        <v>0.24443828739454435</v>
      </c>
      <c r="L14" s="84" t="s">
        <v>206</v>
      </c>
    </row>
    <row r="15" spans="1:16"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c r="N15"/>
      <c r="O15"/>
    </row>
    <row r="16" spans="1:16" ht="29.4" thickBot="1" x14ac:dyDescent="0.35">
      <c r="A16" s="179" t="s">
        <v>197</v>
      </c>
      <c r="B16" s="81">
        <f t="shared" ref="B16:K16" si="8">B12-B15</f>
        <v>1568268.2672999999</v>
      </c>
      <c r="C16" s="81">
        <f t="shared" si="8"/>
        <v>1577178.9768000001</v>
      </c>
      <c r="D16" s="81">
        <f t="shared" si="8"/>
        <v>1537494.5767999999</v>
      </c>
      <c r="E16" s="81">
        <f t="shared" si="8"/>
        <v>1495686.567088</v>
      </c>
      <c r="F16" s="81">
        <f t="shared" si="8"/>
        <v>1456437.9395626667</v>
      </c>
      <c r="G16" s="81">
        <f t="shared" si="8"/>
        <v>1435128.6795626667</v>
      </c>
      <c r="H16" s="81">
        <f t="shared" si="8"/>
        <v>1053081.1626433856</v>
      </c>
      <c r="I16" s="81">
        <f t="shared" si="8"/>
        <v>672096.91153062868</v>
      </c>
      <c r="J16" s="81">
        <f t="shared" si="8"/>
        <v>664173.23369693372</v>
      </c>
      <c r="K16" s="81">
        <f t="shared" si="8"/>
        <v>645388.64060698042</v>
      </c>
      <c r="L16" s="88" t="s">
        <v>265</v>
      </c>
    </row>
    <row r="17" spans="1:15" x14ac:dyDescent="0.3">
      <c r="A17" s="82"/>
      <c r="B17" s="82"/>
      <c r="C17" s="82"/>
      <c r="D17" s="82"/>
      <c r="E17" s="82"/>
      <c r="F17" s="82"/>
      <c r="G17" s="82"/>
      <c r="H17" s="82"/>
      <c r="I17" s="82"/>
      <c r="J17" s="82"/>
      <c r="K17" s="82"/>
    </row>
    <row r="18" spans="1:15" ht="15.6" x14ac:dyDescent="0.3">
      <c r="A18" s="82"/>
      <c r="B18" s="82"/>
      <c r="C18" s="82"/>
      <c r="D18" s="82"/>
      <c r="E18" s="82"/>
      <c r="F18" s="82"/>
      <c r="G18" s="82"/>
      <c r="H18" s="82"/>
      <c r="I18" s="82"/>
      <c r="J18" s="82"/>
      <c r="K18" s="82"/>
      <c r="N18" s="4"/>
      <c r="O18" s="7"/>
    </row>
  </sheetData>
  <mergeCells count="3">
    <mergeCell ref="B1:L1"/>
    <mergeCell ref="N1:O1"/>
    <mergeCell ref="B13:J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4" x14ac:dyDescent="0.3"/>
  <cols>
    <col min="1" max="1" width="37.6640625" customWidth="1"/>
    <col min="2" max="11" width="11" customWidth="1"/>
    <col min="12" max="12" width="49.33203125" style="2" customWidth="1"/>
    <col min="14" max="14" width="8.6640625" customWidth="1"/>
    <col min="15" max="15" width="34.109375" customWidth="1"/>
  </cols>
  <sheetData>
    <row r="1" spans="1:18" s="58" customFormat="1" ht="15.6" x14ac:dyDescent="0.3">
      <c r="A1" s="97" t="s">
        <v>178</v>
      </c>
      <c r="B1" s="199" t="s">
        <v>173</v>
      </c>
      <c r="C1" s="200"/>
      <c r="D1" s="200"/>
      <c r="E1" s="200"/>
      <c r="F1" s="200"/>
      <c r="G1" s="200"/>
      <c r="H1" s="200"/>
      <c r="I1" s="200"/>
      <c r="J1" s="200"/>
      <c r="K1" s="200"/>
      <c r="L1" s="201"/>
      <c r="N1" s="202" t="s">
        <v>193</v>
      </c>
      <c r="O1" s="203"/>
      <c r="P1" s="60"/>
    </row>
    <row r="2" spans="1:18" s="58" customFormat="1" ht="30" x14ac:dyDescent="0.35">
      <c r="A2" s="98" t="s">
        <v>152</v>
      </c>
      <c r="B2" s="85">
        <v>2021</v>
      </c>
      <c r="C2" s="85">
        <v>2022</v>
      </c>
      <c r="D2" s="85">
        <v>2023</v>
      </c>
      <c r="E2" s="85">
        <v>2024</v>
      </c>
      <c r="F2" s="85">
        <v>2025</v>
      </c>
      <c r="G2" s="85">
        <v>2026</v>
      </c>
      <c r="H2" s="85">
        <v>2027</v>
      </c>
      <c r="I2" s="85">
        <v>2028</v>
      </c>
      <c r="J2" s="85">
        <v>2029</v>
      </c>
      <c r="K2" s="86">
        <v>2030</v>
      </c>
      <c r="L2" s="87" t="s">
        <v>174</v>
      </c>
      <c r="N2" s="59">
        <v>0.43540000000000001</v>
      </c>
      <c r="O2" s="8" t="s">
        <v>198</v>
      </c>
    </row>
    <row r="3" spans="1:18" s="58" customFormat="1" ht="58.8" x14ac:dyDescent="0.35">
      <c r="A3" s="99" t="s">
        <v>166</v>
      </c>
      <c r="B3" s="61">
        <v>272279.59132343088</v>
      </c>
      <c r="C3" s="65">
        <f>B3*(1+$N$8)</f>
        <v>273397.63954718102</v>
      </c>
      <c r="D3" s="65">
        <f>C3*(1+$N$8)</f>
        <v>274520.27875707357</v>
      </c>
      <c r="E3" s="65">
        <f>D3*(1+$N$8)</f>
        <v>275647.52780484792</v>
      </c>
      <c r="F3" s="65">
        <f>E3*(1+$N$8)</f>
        <v>276779.40561965352</v>
      </c>
      <c r="G3" s="65">
        <f>F3*(1+$N$8)</f>
        <v>277915.93120836752</v>
      </c>
      <c r="H3" s="65">
        <f t="shared" ref="H3:K4" si="0">G3*(1+$N$8)</f>
        <v>279057.12365591415</v>
      </c>
      <c r="I3" s="65">
        <f t="shared" si="0"/>
        <v>280203.00212558504</v>
      </c>
      <c r="J3" s="65">
        <f t="shared" si="0"/>
        <v>281353.58585936122</v>
      </c>
      <c r="K3" s="65">
        <f t="shared" si="0"/>
        <v>282508.89417823602</v>
      </c>
      <c r="L3" s="84" t="s">
        <v>210</v>
      </c>
      <c r="N3" s="62">
        <v>0.91839999999999999</v>
      </c>
      <c r="O3" s="8" t="s">
        <v>199</v>
      </c>
    </row>
    <row r="4" spans="1:18" s="58" customFormat="1" ht="57.6" x14ac:dyDescent="0.3">
      <c r="A4" s="99" t="s">
        <v>167</v>
      </c>
      <c r="B4" s="61">
        <f>SUMIFS('Form 1.1c'!J:J, 'Form 1.1c'!$B:$B, "Azusa Light &amp; Water")*1000</f>
        <v>265000</v>
      </c>
      <c r="C4" s="61">
        <f>SUMIFS('Form 1.1c'!K:K, 'Form 1.1c'!$B:$B, "Azusa Light &amp; Water")*1000</f>
        <v>266000</v>
      </c>
      <c r="D4" s="61">
        <f>SUMIFS('Form 1.1c'!L:L, 'Form 1.1c'!$B:$B, "Azusa Light &amp; Water")*1000</f>
        <v>267000</v>
      </c>
      <c r="E4" s="61">
        <f>SUMIFS('Form 1.1c'!M:M, 'Form 1.1c'!$B:$B, "Azusa Light &amp; Water")*1000</f>
        <v>268000</v>
      </c>
      <c r="F4" s="61">
        <f>SUMIFS('Form 1.1c'!N:N, 'Form 1.1c'!$B:$B, "Azusa Light &amp; Water")*1000</f>
        <v>269000</v>
      </c>
      <c r="G4" s="61">
        <f>SUMIFS('Form 1.1c'!O:O, 'Form 1.1c'!$B:$B, "Azusa Light &amp; Water")*1000</f>
        <v>269000</v>
      </c>
      <c r="H4" s="65">
        <f>AVERAGE(E4:G4)*(1+$N$8)</f>
        <v>269769.87931652967</v>
      </c>
      <c r="I4" s="61">
        <f t="shared" si="0"/>
        <v>270877.62203395151</v>
      </c>
      <c r="J4" s="61">
        <f t="shared" si="0"/>
        <v>271989.91342052468</v>
      </c>
      <c r="K4" s="61">
        <f t="shared" si="0"/>
        <v>273106.7721542244</v>
      </c>
      <c r="L4" s="84" t="s">
        <v>211</v>
      </c>
      <c r="N4" s="68">
        <f>0.15</f>
        <v>0.15</v>
      </c>
      <c r="O4" s="84" t="s">
        <v>165</v>
      </c>
    </row>
    <row r="5" spans="1:18" s="58" customFormat="1" ht="28.8" x14ac:dyDescent="0.3">
      <c r="A5" s="99" t="s">
        <v>191</v>
      </c>
      <c r="B5" s="61">
        <f>IF(0&lt;(B3-B4)/B3,B4,B3*(1-$N$5))</f>
        <v>265000</v>
      </c>
      <c r="C5" s="61">
        <f t="shared" ref="C5:K5" si="1">IF(0&lt;(C3-C4)/C3,C4,C3*(1-$N$5))</f>
        <v>266000</v>
      </c>
      <c r="D5" s="61">
        <f t="shared" si="1"/>
        <v>267000</v>
      </c>
      <c r="E5" s="61">
        <f t="shared" si="1"/>
        <v>268000</v>
      </c>
      <c r="F5" s="61">
        <f t="shared" si="1"/>
        <v>269000</v>
      </c>
      <c r="G5" s="61">
        <f t="shared" si="1"/>
        <v>269000</v>
      </c>
      <c r="H5" s="61">
        <f t="shared" si="1"/>
        <v>269769.87931652967</v>
      </c>
      <c r="I5" s="61">
        <f t="shared" si="1"/>
        <v>270877.62203395151</v>
      </c>
      <c r="J5" s="61">
        <f t="shared" si="1"/>
        <v>271989.91342052468</v>
      </c>
      <c r="K5" s="61">
        <f t="shared" si="1"/>
        <v>273106.7721542244</v>
      </c>
      <c r="L5" s="84" t="s">
        <v>271</v>
      </c>
      <c r="N5" s="68">
        <f>0.07</f>
        <v>7.0000000000000007E-2</v>
      </c>
      <c r="O5" s="84" t="s">
        <v>275</v>
      </c>
    </row>
    <row r="6" spans="1:18" s="58" customFormat="1" ht="28.8" x14ac:dyDescent="0.3">
      <c r="A6" s="99" t="s">
        <v>168</v>
      </c>
      <c r="B6" s="61">
        <v>0</v>
      </c>
      <c r="C6" s="61">
        <v>0</v>
      </c>
      <c r="D6" s="61">
        <v>0</v>
      </c>
      <c r="E6" s="61">
        <v>0</v>
      </c>
      <c r="F6" s="61">
        <v>0</v>
      </c>
      <c r="G6" s="61">
        <v>0</v>
      </c>
      <c r="H6" s="61">
        <v>0</v>
      </c>
      <c r="I6" s="61">
        <v>0</v>
      </c>
      <c r="J6" s="61">
        <v>0</v>
      </c>
      <c r="K6" s="61">
        <v>0</v>
      </c>
      <c r="L6" s="112" t="s">
        <v>237</v>
      </c>
      <c r="N6" s="63">
        <v>0.05</v>
      </c>
      <c r="O6" s="84" t="s">
        <v>200</v>
      </c>
    </row>
    <row r="7" spans="1:18" s="58" customFormat="1" ht="28.8" x14ac:dyDescent="0.3">
      <c r="A7" s="99" t="s">
        <v>169</v>
      </c>
      <c r="B7" s="61">
        <v>18866.666666666668</v>
      </c>
      <c r="C7" s="61">
        <f>B7</f>
        <v>18866.666666666668</v>
      </c>
      <c r="D7" s="61">
        <f t="shared" ref="D7:K8" si="2">C7</f>
        <v>18866.666666666668</v>
      </c>
      <c r="E7" s="61">
        <f t="shared" si="2"/>
        <v>18866.666666666668</v>
      </c>
      <c r="F7" s="61">
        <f t="shared" si="2"/>
        <v>18866.666666666668</v>
      </c>
      <c r="G7" s="61">
        <f t="shared" si="2"/>
        <v>18866.666666666668</v>
      </c>
      <c r="H7" s="61">
        <f t="shared" si="2"/>
        <v>18866.666666666668</v>
      </c>
      <c r="I7" s="61">
        <f t="shared" si="2"/>
        <v>18866.666666666668</v>
      </c>
      <c r="J7" s="61">
        <f t="shared" si="2"/>
        <v>18866.666666666668</v>
      </c>
      <c r="K7" s="61">
        <f t="shared" si="2"/>
        <v>18866.666666666668</v>
      </c>
      <c r="L7" s="84" t="s">
        <v>238</v>
      </c>
      <c r="O7" s="101"/>
    </row>
    <row r="8" spans="1:18" s="58" customFormat="1" x14ac:dyDescent="0.3">
      <c r="A8" s="99" t="s">
        <v>170</v>
      </c>
      <c r="B8" s="65">
        <v>4143.3333333333339</v>
      </c>
      <c r="C8" s="65">
        <f>B8</f>
        <v>4143.3333333333339</v>
      </c>
      <c r="D8" s="65">
        <f t="shared" si="2"/>
        <v>4143.3333333333339</v>
      </c>
      <c r="E8" s="65">
        <f t="shared" si="2"/>
        <v>4143.3333333333339</v>
      </c>
      <c r="F8" s="65">
        <f t="shared" si="2"/>
        <v>4143.3333333333339</v>
      </c>
      <c r="G8" s="65">
        <f t="shared" si="2"/>
        <v>4143.3333333333339</v>
      </c>
      <c r="H8" s="65">
        <f t="shared" si="2"/>
        <v>4143.3333333333339</v>
      </c>
      <c r="I8" s="65">
        <f t="shared" si="2"/>
        <v>4143.3333333333339</v>
      </c>
      <c r="J8" s="65">
        <f t="shared" si="2"/>
        <v>4143.3333333333339</v>
      </c>
      <c r="K8" s="65">
        <f t="shared" si="2"/>
        <v>4143.3333333333339</v>
      </c>
      <c r="L8" s="84" t="s">
        <v>236</v>
      </c>
      <c r="N8" s="64">
        <v>4.1062505578026709E-3</v>
      </c>
      <c r="O8" s="84" t="s">
        <v>202</v>
      </c>
    </row>
    <row r="9" spans="1:18" s="58" customFormat="1" ht="72" x14ac:dyDescent="0.3">
      <c r="A9" s="99" t="s">
        <v>375</v>
      </c>
      <c r="B9" s="71">
        <v>0.3</v>
      </c>
      <c r="C9" s="120">
        <v>0.31</v>
      </c>
      <c r="D9" s="120">
        <v>0.33</v>
      </c>
      <c r="E9" s="120">
        <v>0.35</v>
      </c>
      <c r="F9" s="120">
        <v>0.37</v>
      </c>
      <c r="G9" s="120">
        <v>0.38</v>
      </c>
      <c r="H9" s="120">
        <v>0.4</v>
      </c>
      <c r="I9" s="120">
        <v>0.42</v>
      </c>
      <c r="J9" s="120">
        <v>0.43</v>
      </c>
      <c r="K9" s="120">
        <v>0.45</v>
      </c>
      <c r="L9" s="84" t="s">
        <v>366</v>
      </c>
    </row>
    <row r="10" spans="1:18" s="58" customFormat="1" ht="15.6" x14ac:dyDescent="0.3">
      <c r="A10" s="99" t="s">
        <v>171</v>
      </c>
      <c r="B10" s="61">
        <f>B5*B9</f>
        <v>79500</v>
      </c>
      <c r="C10" s="61">
        <f t="shared" ref="C10:K10" si="3">C5*C9</f>
        <v>82460</v>
      </c>
      <c r="D10" s="61">
        <f t="shared" si="3"/>
        <v>88110</v>
      </c>
      <c r="E10" s="61">
        <f t="shared" si="3"/>
        <v>93800</v>
      </c>
      <c r="F10" s="61">
        <f t="shared" si="3"/>
        <v>99530</v>
      </c>
      <c r="G10" s="61">
        <f t="shared" si="3"/>
        <v>102220</v>
      </c>
      <c r="H10" s="61">
        <f t="shared" si="3"/>
        <v>107907.95172661188</v>
      </c>
      <c r="I10" s="61">
        <f t="shared" si="3"/>
        <v>113768.60125425963</v>
      </c>
      <c r="J10" s="61">
        <f t="shared" si="3"/>
        <v>116955.66277082561</v>
      </c>
      <c r="K10" s="61">
        <f t="shared" si="3"/>
        <v>122898.04746940098</v>
      </c>
      <c r="L10" s="84" t="s">
        <v>376</v>
      </c>
      <c r="N10" s="122"/>
      <c r="O10" s="60"/>
    </row>
    <row r="11" spans="1:18" s="58" customFormat="1" ht="28.8" x14ac:dyDescent="0.3">
      <c r="A11" s="99" t="s">
        <v>172</v>
      </c>
      <c r="B11" s="61">
        <f t="shared" ref="B11:K11" si="4">MAX(B3-SUM(B6:B8,B10), B3*$N$6)</f>
        <v>169769.59132343088</v>
      </c>
      <c r="C11" s="61">
        <f t="shared" si="4"/>
        <v>167927.63954718102</v>
      </c>
      <c r="D11" s="61">
        <f t="shared" si="4"/>
        <v>163400.27875707357</v>
      </c>
      <c r="E11" s="61">
        <f t="shared" si="4"/>
        <v>158837.52780484792</v>
      </c>
      <c r="F11" s="61">
        <f t="shared" si="4"/>
        <v>154239.40561965352</v>
      </c>
      <c r="G11" s="61">
        <f t="shared" si="4"/>
        <v>152685.93120836752</v>
      </c>
      <c r="H11" s="61">
        <f t="shared" si="4"/>
        <v>148139.17192930228</v>
      </c>
      <c r="I11" s="61">
        <f t="shared" si="4"/>
        <v>143424.4008713254</v>
      </c>
      <c r="J11" s="61">
        <f t="shared" si="4"/>
        <v>141387.92308853561</v>
      </c>
      <c r="K11" s="61">
        <f t="shared" si="4"/>
        <v>136600.84670883504</v>
      </c>
      <c r="L11" s="84" t="s">
        <v>203</v>
      </c>
    </row>
    <row r="12" spans="1:18" s="58" customFormat="1" ht="43.8" x14ac:dyDescent="0.35">
      <c r="A12" s="99" t="s">
        <v>194</v>
      </c>
      <c r="B12" s="61">
        <f t="shared" ref="B12:K12" si="5">B6*$N$3+B11*$N$2</f>
        <v>73917.680062221814</v>
      </c>
      <c r="C12" s="61">
        <f t="shared" si="5"/>
        <v>73115.694258842617</v>
      </c>
      <c r="D12" s="61">
        <f t="shared" si="5"/>
        <v>71144.481370829832</v>
      </c>
      <c r="E12" s="61">
        <f t="shared" si="5"/>
        <v>69157.859606230792</v>
      </c>
      <c r="F12" s="61">
        <f t="shared" si="5"/>
        <v>67155.83720679715</v>
      </c>
      <c r="G12" s="61">
        <f t="shared" si="5"/>
        <v>66479.454448123215</v>
      </c>
      <c r="H12" s="61">
        <f t="shared" si="5"/>
        <v>64499.795458018212</v>
      </c>
      <c r="I12" s="61">
        <f t="shared" si="5"/>
        <v>62446.984139375083</v>
      </c>
      <c r="J12" s="61">
        <f t="shared" si="5"/>
        <v>61560.301712748405</v>
      </c>
      <c r="K12" s="61">
        <f t="shared" si="5"/>
        <v>59476.008657026781</v>
      </c>
      <c r="L12" s="102" t="s">
        <v>204</v>
      </c>
    </row>
    <row r="13" spans="1:18" s="58" customFormat="1" ht="72" x14ac:dyDescent="0.3">
      <c r="A13" s="99"/>
      <c r="B13" s="204" t="s">
        <v>205</v>
      </c>
      <c r="C13" s="205"/>
      <c r="D13" s="205"/>
      <c r="E13" s="205"/>
      <c r="F13" s="205"/>
      <c r="G13" s="205"/>
      <c r="H13" s="205"/>
      <c r="I13" s="205"/>
      <c r="J13" s="206"/>
      <c r="K13" s="83">
        <v>0</v>
      </c>
      <c r="L13" s="102" t="s">
        <v>368</v>
      </c>
    </row>
    <row r="14" spans="1:18" s="58" customFormat="1" ht="30" x14ac:dyDescent="0.35">
      <c r="A14" s="99" t="s">
        <v>195</v>
      </c>
      <c r="B14" s="80">
        <f t="shared" ref="B14:K14" si="6">B12/B3</f>
        <v>0.2714771228461913</v>
      </c>
      <c r="C14" s="80">
        <f t="shared" si="6"/>
        <v>0.26743352422479433</v>
      </c>
      <c r="D14" s="80">
        <f t="shared" si="6"/>
        <v>0.25915929305093877</v>
      </c>
      <c r="E14" s="80">
        <f t="shared" si="6"/>
        <v>0.25089236300059603</v>
      </c>
      <c r="F14" s="80">
        <f t="shared" si="6"/>
        <v>0.2426330711146977</v>
      </c>
      <c r="G14" s="80">
        <f t="shared" si="6"/>
        <v>0.23920706581689349</v>
      </c>
      <c r="H14" s="80">
        <f t="shared" si="6"/>
        <v>0.23113473905632456</v>
      </c>
      <c r="I14" s="80">
        <f t="shared" si="6"/>
        <v>0.22286336572292248</v>
      </c>
      <c r="J14" s="80">
        <f t="shared" si="6"/>
        <v>0.21880048738216629</v>
      </c>
      <c r="K14" s="80">
        <f t="shared" si="6"/>
        <v>0.21052791569635723</v>
      </c>
      <c r="L14" s="84" t="s">
        <v>206</v>
      </c>
    </row>
    <row r="15" spans="1:18" s="58" customFormat="1" ht="30.6" thickBot="1" x14ac:dyDescent="0.4">
      <c r="A15" s="99" t="s">
        <v>196</v>
      </c>
      <c r="B15" s="79">
        <f>$K$13*B14</f>
        <v>0</v>
      </c>
      <c r="C15" s="79">
        <f t="shared" ref="C15:K15" si="7">$K$13*C14</f>
        <v>0</v>
      </c>
      <c r="D15" s="79">
        <f t="shared" si="7"/>
        <v>0</v>
      </c>
      <c r="E15" s="79">
        <f t="shared" si="7"/>
        <v>0</v>
      </c>
      <c r="F15" s="79">
        <f t="shared" si="7"/>
        <v>0</v>
      </c>
      <c r="G15" s="79">
        <f t="shared" si="7"/>
        <v>0</v>
      </c>
      <c r="H15" s="79">
        <f t="shared" si="7"/>
        <v>0</v>
      </c>
      <c r="I15" s="79">
        <f t="shared" si="7"/>
        <v>0</v>
      </c>
      <c r="J15" s="79">
        <f t="shared" si="7"/>
        <v>0</v>
      </c>
      <c r="K15" s="79">
        <f t="shared" si="7"/>
        <v>0</v>
      </c>
      <c r="L15" s="84" t="s">
        <v>250</v>
      </c>
    </row>
    <row r="16" spans="1:18" ht="29.4" thickBot="1" x14ac:dyDescent="0.35">
      <c r="A16" s="179" t="s">
        <v>197</v>
      </c>
      <c r="B16" s="81">
        <f t="shared" ref="B16:K16" si="8">B12-B15</f>
        <v>73917.680062221814</v>
      </c>
      <c r="C16" s="81">
        <f t="shared" si="8"/>
        <v>73115.694258842617</v>
      </c>
      <c r="D16" s="81">
        <f t="shared" si="8"/>
        <v>71144.481370829832</v>
      </c>
      <c r="E16" s="81">
        <f t="shared" si="8"/>
        <v>69157.859606230792</v>
      </c>
      <c r="F16" s="81">
        <f t="shared" si="8"/>
        <v>67155.83720679715</v>
      </c>
      <c r="G16" s="81">
        <f t="shared" si="8"/>
        <v>66479.454448123215</v>
      </c>
      <c r="H16" s="81">
        <f t="shared" si="8"/>
        <v>64499.795458018212</v>
      </c>
      <c r="I16" s="81">
        <f t="shared" si="8"/>
        <v>62446.984139375083</v>
      </c>
      <c r="J16" s="81">
        <f t="shared" si="8"/>
        <v>61560.301712748405</v>
      </c>
      <c r="K16" s="81">
        <f t="shared" si="8"/>
        <v>59476.008657026781</v>
      </c>
      <c r="L16" s="88" t="s">
        <v>265</v>
      </c>
      <c r="N16" s="58"/>
      <c r="O16" s="58"/>
      <c r="P16" s="58"/>
      <c r="Q16" s="58"/>
      <c r="R16" s="58"/>
    </row>
    <row r="17" spans="1:18" x14ac:dyDescent="0.3">
      <c r="A17" s="82"/>
      <c r="B17" s="82"/>
      <c r="C17" s="82"/>
      <c r="D17" s="82"/>
      <c r="E17" s="82"/>
      <c r="F17" s="82"/>
      <c r="G17" s="82"/>
      <c r="H17" s="82"/>
      <c r="I17" s="82"/>
      <c r="J17" s="82"/>
      <c r="K17" s="82"/>
      <c r="P17" s="58"/>
      <c r="Q17" s="58"/>
      <c r="R17" s="58"/>
    </row>
    <row r="18" spans="1:18" x14ac:dyDescent="0.3">
      <c r="A18" s="82"/>
      <c r="B18" s="82"/>
      <c r="C18" s="82"/>
      <c r="D18" s="82"/>
      <c r="E18" s="82"/>
      <c r="F18" s="82"/>
      <c r="G18" s="82"/>
      <c r="H18" s="82"/>
      <c r="I18" s="82"/>
      <c r="J18" s="82"/>
      <c r="K18" s="82"/>
    </row>
  </sheetData>
  <mergeCells count="3">
    <mergeCell ref="B1:L1"/>
    <mergeCell ref="N1:O1"/>
    <mergeCell ref="B13:J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http://hqsp01:5700/sites/gf/_cts/Document/letterhead.doc</xsnLocation>
  <cached>True</cached>
  <openByDefault>False</openByDefault>
  <xsnScope>http://hqsp01:5700/sites/gf</xsnScope>
</customXsn>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76C0937DF0411C4CB98A5DF7685548EF" ma:contentTypeVersion="36" ma:contentTypeDescription="Create a new document." ma:contentTypeScope="" ma:versionID="afcb92fb713b6587633edc81da482731">
  <xsd:schema xmlns:xsd="http://www.w3.org/2001/XMLSchema" xmlns:xs="http://www.w3.org/2001/XMLSchema" xmlns:p="http://schemas.microsoft.com/office/2006/metadata/properties" xmlns:ns1="http://schemas.microsoft.com/sharepoint/v3" xmlns:ns2="c23a0445-74f4-4702-b19c-b7e951e4709f" xmlns:ns3="http://schemas.microsoft.com/sharepoint/v3/fields" xmlns:ns4="96db869e-d9d7-40a8-858e-10252c2ad9c3" xmlns:ns6="http://schemas.microsoft.com/sharepoint/v4" xmlns:ns7="292cfd23-6ac5-4375-bb79-337d2e1e7f9b" targetNamespace="http://schemas.microsoft.com/office/2006/metadata/properties" ma:root="true" ma:fieldsID="01ae28532614038370298918e26947b4" ns1:_="" ns2:_="" ns3:_="" ns4:_="" ns6:_="" ns7:_="">
    <xsd:import namespace="http://schemas.microsoft.com/sharepoint/v3"/>
    <xsd:import namespace="c23a0445-74f4-4702-b19c-b7e951e4709f"/>
    <xsd:import namespace="http://schemas.microsoft.com/sharepoint/v3/fields"/>
    <xsd:import namespace="96db869e-d9d7-40a8-858e-10252c2ad9c3"/>
    <xsd:import namespace="http://schemas.microsoft.com/sharepoint/v4"/>
    <xsd:import namespace="292cfd23-6ac5-4375-bb79-337d2e1e7f9b"/>
    <xsd:element name="properties">
      <xsd:complexType>
        <xsd:sequence>
          <xsd:element name="documentManagement">
            <xsd:complexType>
              <xsd:all>
                <xsd:element ref="ns2:Division"/>
                <xsd:element ref="ns2:Assign_x0023_" minOccurs="0"/>
                <xsd:element ref="ns3:_DCDateCreated" minOccurs="0"/>
                <xsd:element ref="ns1:PublishingContact" minOccurs="0"/>
                <xsd:element ref="ns2:Status" minOccurs="0"/>
                <xsd:element ref="ns2:From" minOccurs="0"/>
                <xsd:element ref="ns3:_EndDate" minOccurs="0"/>
                <xsd:element ref="ns2:Comments" minOccurs="0"/>
                <xsd:element ref="ns4:_dlc_DocId" minOccurs="0"/>
                <xsd:element ref="ns4:_dlc_DocIdUrl" minOccurs="0"/>
                <xsd:element ref="ns4:_dlc_DocIdPersistId" minOccurs="0"/>
                <xsd:element ref="ns2:Board_x0020_Date" minOccurs="0"/>
                <xsd:element ref="ns2:Doc_x0020_Type" minOccurs="0"/>
                <xsd:element ref="ns1:_dlc_Exempt" minOccurs="0"/>
                <xsd:element ref="ns1:_dlc_ExpireDateSaved" minOccurs="0"/>
                <xsd:element ref="ns1:_dlc_ExpireDate" minOccurs="0"/>
                <xsd:element ref="ns6:IconOverlay" minOccurs="0"/>
                <xsd:element ref="ns1:_vti_ItemDeclaredRecord" minOccurs="0"/>
                <xsd:element ref="ns1:_vti_ItemHoldRecordStatus" minOccurs="0"/>
                <xsd:element ref="ns7: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Contact" ma:index="5" nillable="true" ma:displayName="Contact" ma:description="" ma:list="UserInfo" ma:internalName="PublishingContact"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1" nillable="true" ma:displayName="Exempt from Policy" ma:hidden="true" ma:internalName="_dlc_Exempt" ma:readOnly="true">
      <xsd:simpleType>
        <xsd:restriction base="dms:Unknown"/>
      </xsd:simpleType>
    </xsd:element>
    <xsd:element name="_dlc_ExpireDateSaved" ma:index="22" nillable="true" ma:displayName="Original Expiration Date" ma:hidden="true" ma:internalName="_dlc_ExpireDateSaved" ma:readOnly="true">
      <xsd:simpleType>
        <xsd:restriction base="dms:DateTime"/>
      </xsd:simpleType>
    </xsd:element>
    <xsd:element name="_dlc_ExpireDate" ma:index="23" nillable="true" ma:displayName="Expiration Date" ma:hidden="true" ma:internalName="_dlc_ExpireDate" ma:readOnly="true">
      <xsd:simpleType>
        <xsd:restriction base="dms:DateTime"/>
      </xsd:simpleType>
    </xsd:element>
    <xsd:element name="_vti_ItemDeclaredRecord" ma:index="26" nillable="true" ma:displayName="Declared Record" ma:hidden="true" ma:internalName="_vti_ItemDeclaredRecord" ma:readOnly="true">
      <xsd:simpleType>
        <xsd:restriction base="dms:DateTime"/>
      </xsd:simpleType>
    </xsd:element>
    <xsd:element name="_vti_ItemHoldRecordStatus" ma:index="27"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3a0445-74f4-4702-b19c-b7e951e4709f" elementFormDefault="qualified">
    <xsd:import namespace="http://schemas.microsoft.com/office/2006/documentManagement/types"/>
    <xsd:import namespace="http://schemas.microsoft.com/office/infopath/2007/PartnerControls"/>
    <xsd:element name="Division" ma:index="2" ma:displayName="Division" ma:format="Dropdown" ma:internalName="Division">
      <xsd:simpleType>
        <xsd:restriction base="dms:Choice">
          <xsd:enumeration value="ASD"/>
          <xsd:enumeration value="AQPS"/>
          <xsd:enumeration value="BARCU"/>
          <xsd:enumeration value="ECARS"/>
          <xsd:enumeration value="ED"/>
          <xsd:enumeration value="ISD"/>
          <xsd:enumeration value="Legal"/>
          <xsd:enumeration value="MLD"/>
          <xsd:enumeration value="MSCD"/>
          <xsd:enumeration value="RD"/>
          <xsd:enumeration value="TTD"/>
        </xsd:restriction>
      </xsd:simpleType>
    </xsd:element>
    <xsd:element name="Assign_x0023_" ma:index="3" nillable="true" ma:displayName="Assign#" ma:internalName="Assign_x0023_">
      <xsd:simpleType>
        <xsd:restriction base="dms:Text">
          <xsd:maxLength value="20"/>
        </xsd:restriction>
      </xsd:simpleType>
    </xsd:element>
    <xsd:element name="Status" ma:index="6" nillable="true" ma:displayName="Status" ma:default="Routing" ma:format="Dropdown" ma:internalName="Status">
      <xsd:simpleType>
        <xsd:restriction base="dms:Choice">
          <xsd:enumeration value="Routing"/>
          <xsd:enumeration value="Complete"/>
        </xsd:restriction>
      </xsd:simpleType>
    </xsd:element>
    <xsd:element name="From" ma:index="7" nillable="true" ma:displayName="From" ma:description="Individual that added the document to the library" ma:internalName="From">
      <xsd:simpleType>
        <xsd:restriction base="dms:Text">
          <xsd:maxLength value="255"/>
        </xsd:restriction>
      </xsd:simpleType>
    </xsd:element>
    <xsd:element name="Comments" ma:index="15" nillable="true" ma:displayName="Comments" ma:internalName="Comments">
      <xsd:simpleType>
        <xsd:restriction base="dms:Note">
          <xsd:maxLength value="255"/>
        </xsd:restriction>
      </xsd:simpleType>
    </xsd:element>
    <xsd:element name="Board_x0020_Date" ma:index="19" nillable="true" ma:displayName="Board Date" ma:format="DateOnly" ma:internalName="Board_x0020_Date">
      <xsd:simpleType>
        <xsd:restriction base="dms:DateTime"/>
      </xsd:simpleType>
    </xsd:element>
    <xsd:element name="Doc_x0020_Type" ma:index="20" nillable="true" ma:displayName="Doc Type" ma:format="Dropdown" ma:internalName="Doc_x0020_Type">
      <xsd:simpleType>
        <xsd:restriction base="dms:Choice">
          <xsd:enumeration value="15-Day Package"/>
          <xsd:enumeration value="399 Package"/>
          <xsd:enumeration value="COTB Document"/>
          <xsd:enumeration value="Final Rulemaking Package"/>
          <xsd:enumeration value="Non Regulatory Notice Package"/>
          <xsd:enumeration value="Regulatory Notice Package"/>
          <xsd:enumeration value="Resolution"/>
          <xsd:enumeration value="Section 100"/>
          <xsd:enumeration value="Rulemaking Calendar"/>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4" nillable="true" ma:displayName="Date Created" ma:default="[today]" ma:description="The date on which this resource was created" ma:format="DateOnly" ma:internalName="_DCDateCreated">
      <xsd:simpleType>
        <xsd:restriction base="dms:DateTime"/>
      </xsd:simpleType>
    </xsd:element>
    <xsd:element name="_EndDate" ma:index="8" nillable="true" ma:displayName="Due Date" ma:default="[today]" ma:format="DateOnly" ma:internalName="_End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6db869e-d9d7-40a8-858e-10252c2ad9c3" elementFormDefault="qualified">
    <xsd:import namespace="http://schemas.microsoft.com/office/2006/documentManagement/types"/>
    <xsd:import namespace="http://schemas.microsoft.com/office/infopath/2007/PartnerControls"/>
    <xsd:element name="_dlc_DocId" ma:index="16" nillable="true" ma:displayName="Document ID Value" ma:description="The value of the document ID assigned to this item."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2cfd23-6ac5-4375-bb79-337d2e1e7f9b" elementFormDefault="qualified">
    <xsd:import namespace="http://schemas.microsoft.com/office/2006/documentManagement/types"/>
    <xsd:import namespace="http://schemas.microsoft.com/office/infopath/2007/PartnerControls"/>
    <xsd:element name="SharedWithUsers" ma:index="3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p:Policy xmlns:p="office.server.policy" id="" local="true">
  <p:Name>Document</p:Name>
  <p:Description>Remove Versions</p:Description>
  <p:Statement/>
  <p:PolicyItems>
    <p:PolicyItem featureId="Microsoft.Office.RecordsManagement.PolicyFeatures.Expiration" staticId="0x01010076C0937DF0411C4CB98A5DF7685548EF" UniqueId="cad59495-a79e-4791-ae73-e16f50bf728f">
      <p:Name>Retention</p:Name>
      <p:Description>Automatic scheduling of content for processing, and performing a retention action on content that has reached its due date.</p:Description>
      <p:CustomData/>
    </p:PolicyItem>
  </p:PolicyItems>
</p:Policy>
</file>

<file path=customXml/item6.xml><?xml version="1.0" encoding="utf-8"?>
<p:properties xmlns:p="http://schemas.microsoft.com/office/2006/metadata/properties" xmlns:xsi="http://www.w3.org/2001/XMLSchema-instance" xmlns:pc="http://schemas.microsoft.com/office/infopath/2007/PartnerControls">
  <documentManagement>
    <_dlc_DocId xmlns="96db869e-d9d7-40a8-858e-10252c2ad9c3">EXEC-15-6306</_dlc_DocId>
    <_dlc_DocIdUrl xmlns="96db869e-d9d7-40a8-858e-10252c2ad9c3">
      <Url>https://share.arb.ca.gov/divisions/lo/barcu/_layouts/15/DocIdRedir.aspx?ID=EXEC-15-6306</Url>
      <Description>EXEC-15-6306</Description>
    </_dlc_DocIdUrl>
    <IconOverlay xmlns="http://schemas.microsoft.com/sharepoint/v4" xsi:nil="true"/>
    <Assign_x0023_ xmlns="c23a0445-74f4-4702-b19c-b7e951e4709f" xsi:nil="true"/>
    <Board_x0020_Date xmlns="c23a0445-74f4-4702-b19c-b7e951e4709f" xsi:nil="true"/>
    <_EndDate xmlns="http://schemas.microsoft.com/sharepoint/v3/fields">2017-03-29T07:00:00+00:00</_EndDate>
    <PublishingContact xmlns="http://schemas.microsoft.com/sharepoint/v3">
      <UserInfo>
        <DisplayName/>
        <AccountId xsi:nil="true"/>
        <AccountType/>
      </UserInfo>
    </PublishingContact>
    <From xmlns="c23a0445-74f4-4702-b19c-b7e951e4709f" xsi:nil="true"/>
    <Division xmlns="c23a0445-74f4-4702-b19c-b7e951e4709f">ISD</Division>
    <_DCDateCreated xmlns="http://schemas.microsoft.com/sharepoint/v3/fields">2017-03-29T07:00:00+00:00</_DCDateCreated>
    <Status xmlns="c23a0445-74f4-4702-b19c-b7e951e4709f">Routing</Status>
    <Comments xmlns="c23a0445-74f4-4702-b19c-b7e951e4709f" xsi:nil="true"/>
    <Doc_x0020_Type xmlns="c23a0445-74f4-4702-b19c-b7e951e4709f" xsi:nil="true"/>
  </documentManagement>
</p:properties>
</file>

<file path=customXml/itemProps1.xml><?xml version="1.0" encoding="utf-8"?>
<ds:datastoreItem xmlns:ds="http://schemas.openxmlformats.org/officeDocument/2006/customXml" ds:itemID="{08D09728-4A5D-445D-BFC1-6207F621C124}"/>
</file>

<file path=customXml/itemProps2.xml><?xml version="1.0" encoding="utf-8"?>
<ds:datastoreItem xmlns:ds="http://schemas.openxmlformats.org/officeDocument/2006/customXml" ds:itemID="{6C9FC498-0924-4F79-9A8D-DD340D625FEF}"/>
</file>

<file path=customXml/itemProps3.xml><?xml version="1.0" encoding="utf-8"?>
<ds:datastoreItem xmlns:ds="http://schemas.openxmlformats.org/officeDocument/2006/customXml" ds:itemID="{212AE6DD-D97D-497B-946D-2F5D29E8F160}"/>
</file>

<file path=customXml/itemProps4.xml><?xml version="1.0" encoding="utf-8"?>
<ds:datastoreItem xmlns:ds="http://schemas.openxmlformats.org/officeDocument/2006/customXml" ds:itemID="{E32E3064-8FCF-424B-B3E7-77736B68A535}"/>
</file>

<file path=customXml/itemProps5.xml><?xml version="1.0" encoding="utf-8"?>
<ds:datastoreItem xmlns:ds="http://schemas.openxmlformats.org/officeDocument/2006/customXml" ds:itemID="{5A89CE59-AC6F-4FAA-AB30-C47353B510DF}"/>
</file>

<file path=customXml/itemProps6.xml><?xml version="1.0" encoding="utf-8"?>
<ds:datastoreItem xmlns:ds="http://schemas.openxmlformats.org/officeDocument/2006/customXml" ds:itemID="{5756666B-CA15-48F3-BBD1-68F10A7995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Information</vt:lpstr>
      <vt:lpstr>Table 9-4</vt:lpstr>
      <vt:lpstr>Form 1.5a</vt:lpstr>
      <vt:lpstr>Form 1.1c</vt:lpstr>
      <vt:lpstr>Alameda</vt:lpstr>
      <vt:lpstr>Anza</vt:lpstr>
      <vt:lpstr>CCSF</vt:lpstr>
      <vt:lpstr>Anaheim</vt:lpstr>
      <vt:lpstr>Azusa</vt:lpstr>
      <vt:lpstr>Banning</vt:lpstr>
      <vt:lpstr>Biggs</vt:lpstr>
      <vt:lpstr>Burbank</vt:lpstr>
      <vt:lpstr>Cerritos</vt:lpstr>
      <vt:lpstr>Colton</vt:lpstr>
      <vt:lpstr>Corona</vt:lpstr>
      <vt:lpstr>Glendale</vt:lpstr>
      <vt:lpstr>Healdsburg</vt:lpstr>
      <vt:lpstr>Industry</vt:lpstr>
      <vt:lpstr>Lodi</vt:lpstr>
      <vt:lpstr>Lompoc</vt:lpstr>
      <vt:lpstr>MorenoValley</vt:lpstr>
      <vt:lpstr>Needles</vt:lpstr>
      <vt:lpstr>Oakland</vt:lpstr>
      <vt:lpstr>Palo Alto</vt:lpstr>
      <vt:lpstr>RanchoCucamonga</vt:lpstr>
      <vt:lpstr>Riverside</vt:lpstr>
      <vt:lpstr>Roseville</vt:lpstr>
      <vt:lpstr>ShastaLake</vt:lpstr>
      <vt:lpstr>Ukiah</vt:lpstr>
      <vt:lpstr>Vernon</vt:lpstr>
      <vt:lpstr>Victorville</vt:lpstr>
      <vt:lpstr>Eastside</vt:lpstr>
      <vt:lpstr>GoldenState</vt:lpstr>
      <vt:lpstr>Gridley</vt:lpstr>
      <vt:lpstr>ImperialID</vt:lpstr>
      <vt:lpstr>Kirkwood</vt:lpstr>
      <vt:lpstr>Lassen</vt:lpstr>
      <vt:lpstr>Liberty</vt:lpstr>
      <vt:lpstr>LADWP</vt:lpstr>
      <vt:lpstr>MercedID</vt:lpstr>
      <vt:lpstr>ModestoID</vt:lpstr>
      <vt:lpstr>PGE</vt:lpstr>
      <vt:lpstr>PacifiCorp</vt:lpstr>
      <vt:lpstr>Pasadena</vt:lpstr>
      <vt:lpstr>Pittsburg</vt:lpstr>
      <vt:lpstr>PlumasSierra</vt:lpstr>
      <vt:lpstr>PWRPA</vt:lpstr>
      <vt:lpstr>Redding</vt:lpstr>
      <vt:lpstr>SMUD</vt:lpstr>
      <vt:lpstr>SDGE</vt:lpstr>
      <vt:lpstr>SiliconValley</vt:lpstr>
      <vt:lpstr>SCE</vt:lpstr>
      <vt:lpstr>Stockton</vt:lpstr>
      <vt:lpstr>SurpriseValley</vt:lpstr>
      <vt:lpstr>TruckeeDonner</vt:lpstr>
      <vt:lpstr>TurlockID</vt:lpstr>
      <vt:lpstr>ValleyElectric</vt:lpstr>
      <vt:lpstr>WAPA</vt:lpstr>
      <vt:lpstr>#Vernon Data</vt:lpstr>
    </vt:vector>
  </TitlesOfParts>
  <Company>carb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Eileen R. Hlavka</dc:creator>
  <cp:lastModifiedBy>Eileen R. Hlavka</cp:lastModifiedBy>
  <cp:lastPrinted>2016-06-21T18:45:29Z</cp:lastPrinted>
  <dcterms:created xsi:type="dcterms:W3CDTF">2016-04-14T23:43:30Z</dcterms:created>
  <dcterms:modified xsi:type="dcterms:W3CDTF">2017-03-24T17:30:49Z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dbaa8f78-92b3-490d-8cf6-738431c4eec7</vt:lpwstr>
  </property>
  <property fmtid="{D5CDD505-2E9C-101B-9397-08002B2CF9AE}" pid="3" name="ContentTypeId">
    <vt:lpwstr>0x01010076C0937DF0411C4CB98A5DF7685548EF</vt:lpwstr>
  </property>
  <property fmtid="{D5CDD505-2E9C-101B-9397-08002B2CF9AE}" pid="4" name="_dlc_policyId">
    <vt:lpwstr>0x01010076C0937DF0411C4CB98A5DF7685548EF</vt:lpwstr>
  </property>
  <property fmtid="{D5CDD505-2E9C-101B-9397-08002B2CF9AE}" pid="5" name="ItemRetentionFormula">
    <vt:lpwstr/>
  </property>
</Properties>
</file>