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nelis\Documents\Hertie\EMMA\Programm\EMMA-internal\input\"/>
    </mc:Choice>
  </mc:AlternateContent>
  <xr:revisionPtr revIDLastSave="0" documentId="13_ncr:1_{505BFEA3-845C-4AB7-BA9C-946A07724C8B}" xr6:coauthVersionLast="47" xr6:coauthVersionMax="47" xr10:uidLastSave="{00000000-0000-0000-0000-000000000000}"/>
  <bookViews>
    <workbookView xWindow="46524" yWindow="-1272" windowWidth="14400" windowHeight="7356" tabRatio="733" activeTab="2" xr2:uid="{00000000-000D-0000-FFFF-FFFF00000000}"/>
  </bookViews>
  <sheets>
    <sheet name="cost" sheetId="44" r:id="rId1"/>
    <sheet name="yload" sheetId="66" r:id="rId2"/>
    <sheet name="fuel" sheetId="62" r:id="rId3"/>
    <sheet name="monthly" sheetId="60" r:id="rId4"/>
    <sheet name="FLH" sheetId="65" r:id="rId5"/>
    <sheet name="REshare" sheetId="73" r:id="rId6"/>
    <sheet name="km" sheetId="49" r:id="rId7"/>
    <sheet name="ACDC" sheetId="50" r:id="rId8"/>
    <sheet name="costgrid" sheetId="71" r:id="rId9"/>
    <sheet name="template (2)" sheetId="22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62" l="1"/>
  <c r="O6" i="62"/>
  <c r="O7" i="62"/>
  <c r="I9" i="62"/>
  <c r="AE18" i="44" l="1"/>
  <c r="AF18" i="44" s="1"/>
  <c r="AD18" i="44"/>
  <c r="U4" i="66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19" i="66"/>
  <c r="U20" i="66"/>
  <c r="U21" i="66"/>
  <c r="U2" i="66"/>
  <c r="Q4" i="66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19" i="66"/>
  <c r="Q20" i="66"/>
  <c r="Q21" i="66"/>
  <c r="Q2" i="66"/>
  <c r="AF23" i="44"/>
  <c r="AF22" i="44"/>
  <c r="AF21" i="44"/>
  <c r="AF20" i="44"/>
  <c r="AF19" i="44"/>
  <c r="AF17" i="44"/>
  <c r="AF16" i="44"/>
  <c r="AF15" i="44"/>
  <c r="AF14" i="44"/>
  <c r="AF13" i="44"/>
  <c r="AF12" i="44"/>
  <c r="AF11" i="44"/>
  <c r="AF10" i="44"/>
  <c r="AF9" i="44"/>
  <c r="AF8" i="44"/>
  <c r="AF7" i="44"/>
  <c r="AF6" i="44"/>
  <c r="AF5" i="44"/>
  <c r="AF4" i="44"/>
  <c r="Y23" i="44"/>
  <c r="Y22" i="44"/>
  <c r="Y21" i="44"/>
  <c r="Y20" i="44"/>
  <c r="Y19" i="44"/>
  <c r="Y18" i="44"/>
  <c r="Y17" i="44"/>
  <c r="Y16" i="44"/>
  <c r="Y15" i="44"/>
  <c r="Y14" i="44"/>
  <c r="Y13" i="44"/>
  <c r="Y12" i="44"/>
  <c r="Y11" i="44"/>
  <c r="Y10" i="44"/>
  <c r="Y9" i="44"/>
  <c r="Y8" i="44"/>
  <c r="Y7" i="44"/>
  <c r="Y6" i="44"/>
  <c r="Y5" i="44"/>
  <c r="Y4" i="44"/>
  <c r="T23" i="44"/>
  <c r="T22" i="44"/>
  <c r="T21" i="44"/>
  <c r="T20" i="44"/>
  <c r="T19" i="44"/>
  <c r="T18" i="44"/>
  <c r="T17" i="44"/>
  <c r="T16" i="44"/>
  <c r="T15" i="44"/>
  <c r="T14" i="44"/>
  <c r="T13" i="44"/>
  <c r="T12" i="44"/>
  <c r="T11" i="44"/>
  <c r="T10" i="44"/>
  <c r="T9" i="44"/>
  <c r="T8" i="44"/>
  <c r="T7" i="44"/>
  <c r="T6" i="44"/>
  <c r="T5" i="44"/>
  <c r="T4" i="44"/>
  <c r="N23" i="44"/>
  <c r="N22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4" i="44"/>
  <c r="U22" i="44"/>
  <c r="V22" i="44" s="1"/>
  <c r="W22" i="44" s="1"/>
  <c r="X22" i="44" s="1"/>
  <c r="U23" i="44" l="1"/>
  <c r="V23" i="44" s="1"/>
  <c r="W23" i="44" s="1"/>
  <c r="X23" i="44" s="1"/>
  <c r="J13" i="66"/>
  <c r="J20" i="66" s="1"/>
  <c r="L22" i="44"/>
  <c r="M23" i="44"/>
  <c r="G23" i="44"/>
  <c r="K23" i="44"/>
  <c r="E23" i="44"/>
  <c r="D23" i="44" s="1"/>
  <c r="AG13" i="44"/>
  <c r="AG12" i="44"/>
  <c r="AG11" i="44"/>
  <c r="AG10" i="44"/>
  <c r="AG9" i="44"/>
  <c r="T21" i="66"/>
  <c r="S21" i="66"/>
  <c r="R21" i="66"/>
  <c r="M21" i="66"/>
  <c r="L21" i="66"/>
  <c r="K21" i="66"/>
  <c r="I21" i="66"/>
  <c r="H21" i="66"/>
  <c r="G21" i="66"/>
  <c r="F21" i="66"/>
  <c r="E21" i="66"/>
  <c r="D21" i="66"/>
  <c r="C21" i="66"/>
  <c r="T20" i="66"/>
  <c r="S20" i="66"/>
  <c r="R20" i="66"/>
  <c r="M20" i="66"/>
  <c r="L20" i="66"/>
  <c r="K20" i="66"/>
  <c r="I20" i="66"/>
  <c r="H20" i="66"/>
  <c r="G20" i="66"/>
  <c r="F20" i="66"/>
  <c r="E20" i="66"/>
  <c r="D20" i="66"/>
  <c r="C20" i="66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U21" i="44"/>
  <c r="U18" i="44"/>
  <c r="U17" i="44"/>
  <c r="U16" i="44"/>
  <c r="U15" i="44"/>
  <c r="U14" i="44"/>
  <c r="U13" i="44"/>
  <c r="U12" i="44"/>
  <c r="U11" i="44"/>
  <c r="U10" i="44"/>
  <c r="U9" i="44"/>
  <c r="U8" i="44"/>
  <c r="U7" i="44"/>
  <c r="U6" i="44"/>
  <c r="U5" i="44"/>
  <c r="U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J23" i="44"/>
  <c r="J22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J21" i="66" l="1"/>
  <c r="L23" i="44"/>
  <c r="F23" i="44"/>
  <c r="AC3" i="44"/>
  <c r="AC2" i="44"/>
  <c r="V3" i="44"/>
  <c r="V2" i="44"/>
  <c r="Q3" i="44"/>
  <c r="Q2" i="44"/>
  <c r="K3" i="44"/>
  <c r="K2" i="44"/>
  <c r="E2" i="44"/>
  <c r="E3" i="44"/>
  <c r="BC22" i="44"/>
  <c r="BD22" i="44" s="1"/>
  <c r="AS18" i="44"/>
  <c r="BC18" i="44" s="1"/>
  <c r="BD18" i="44" s="1"/>
  <c r="BC16" i="44"/>
  <c r="BD16" i="44" s="1"/>
  <c r="BC20" i="44"/>
  <c r="BD20" i="44" s="1"/>
  <c r="AS14" i="44"/>
  <c r="BC14" i="44" s="1"/>
  <c r="BD14" i="44" s="1"/>
  <c r="AS13" i="44"/>
  <c r="BC13" i="44" s="1"/>
  <c r="BD13" i="44" s="1"/>
  <c r="AS12" i="44"/>
  <c r="BC12" i="44" s="1"/>
  <c r="BD12" i="44" s="1"/>
  <c r="AS7" i="44"/>
  <c r="BC7" i="44" s="1"/>
  <c r="BD7" i="44" s="1"/>
  <c r="AS5" i="44"/>
  <c r="BC5" i="44" s="1"/>
  <c r="BD5" i="44" s="1"/>
  <c r="AS4" i="44"/>
  <c r="BC4" i="44" s="1"/>
  <c r="BD4" i="44" s="1"/>
  <c r="AY28" i="44"/>
  <c r="AV28" i="44"/>
  <c r="AY27" i="44"/>
  <c r="AV27" i="44"/>
  <c r="BF23" i="44"/>
  <c r="BC23" i="44"/>
  <c r="BD23" i="44" s="1"/>
  <c r="AZ23" i="44"/>
  <c r="AX23" i="44"/>
  <c r="AY23" i="44" s="1"/>
  <c r="AU23" i="44"/>
  <c r="AV23" i="44"/>
  <c r="BF22" i="44"/>
  <c r="AZ22" i="44"/>
  <c r="AX22" i="44"/>
  <c r="AY22" i="44" s="1"/>
  <c r="AW22" i="44"/>
  <c r="AV22" i="44"/>
  <c r="AU22" i="44"/>
  <c r="AT22" i="44"/>
  <c r="BC21" i="44"/>
  <c r="BD21" i="44" s="1"/>
  <c r="AZ21" i="44"/>
  <c r="AX21" i="44"/>
  <c r="AY21" i="44" s="1"/>
  <c r="AV21" i="44"/>
  <c r="AT21" i="44"/>
  <c r="AZ20" i="44"/>
  <c r="AX20" i="44"/>
  <c r="AY20" i="44" s="1"/>
  <c r="AV20" i="44"/>
  <c r="AT20" i="44"/>
  <c r="BC19" i="44"/>
  <c r="BD19" i="44" s="1"/>
  <c r="AZ19" i="44"/>
  <c r="AX19" i="44"/>
  <c r="AY19" i="44" s="1"/>
  <c r="AV19" i="44"/>
  <c r="AT19" i="44"/>
  <c r="BF18" i="44"/>
  <c r="AZ18" i="44"/>
  <c r="AX18" i="44"/>
  <c r="AV18" i="44"/>
  <c r="AT18" i="44"/>
  <c r="BF17" i="44"/>
  <c r="BC17" i="44"/>
  <c r="BD17" i="44" s="1"/>
  <c r="AZ17" i="44"/>
  <c r="AX17" i="44"/>
  <c r="AY17" i="44" s="1"/>
  <c r="AV17" i="44"/>
  <c r="AT17" i="44"/>
  <c r="BF16" i="44"/>
  <c r="AZ16" i="44"/>
  <c r="AX16" i="44"/>
  <c r="AY16" i="44" s="1"/>
  <c r="AV16" i="44"/>
  <c r="AT16" i="44"/>
  <c r="BF15" i="44"/>
  <c r="BC15" i="44"/>
  <c r="BD15" i="44" s="1"/>
  <c r="AZ15" i="44"/>
  <c r="AX15" i="44"/>
  <c r="AY15" i="44" s="1"/>
  <c r="AV15" i="44"/>
  <c r="AT15" i="44"/>
  <c r="BF14" i="44"/>
  <c r="AZ14" i="44"/>
  <c r="AX14" i="44"/>
  <c r="AY14" i="44" s="1"/>
  <c r="AV14" i="44"/>
  <c r="AT14" i="44"/>
  <c r="BF13" i="44"/>
  <c r="AZ13" i="44"/>
  <c r="AX13" i="44"/>
  <c r="AY13" i="44" s="1"/>
  <c r="AV13" i="44"/>
  <c r="AT13" i="44"/>
  <c r="BF12" i="44"/>
  <c r="AZ12" i="44"/>
  <c r="AX12" i="44"/>
  <c r="AY12" i="44" s="1"/>
  <c r="AV12" i="44"/>
  <c r="AT12" i="44"/>
  <c r="AZ11" i="44"/>
  <c r="AT11" i="44"/>
  <c r="AL11" i="44"/>
  <c r="AH11" i="44"/>
  <c r="AX11" i="44" s="1"/>
  <c r="AY11" i="44" s="1"/>
  <c r="AA11" i="44"/>
  <c r="O11" i="44"/>
  <c r="AV11" i="44" s="1"/>
  <c r="C11" i="44"/>
  <c r="AZ10" i="44"/>
  <c r="AT10" i="44"/>
  <c r="AL10" i="44"/>
  <c r="AH10" i="44"/>
  <c r="AX10" i="44" s="1"/>
  <c r="AY10" i="44" s="1"/>
  <c r="AA10" i="44"/>
  <c r="O10" i="44"/>
  <c r="AV10" i="44" s="1"/>
  <c r="C10" i="44"/>
  <c r="AZ9" i="44"/>
  <c r="AT9" i="44"/>
  <c r="AL9" i="44"/>
  <c r="AH9" i="44"/>
  <c r="AX9" i="44" s="1"/>
  <c r="AY9" i="44" s="1"/>
  <c r="AA9" i="44"/>
  <c r="O9" i="44"/>
  <c r="AV9" i="44" s="1"/>
  <c r="C9" i="44"/>
  <c r="AS9" i="44" s="1"/>
  <c r="BF8" i="44"/>
  <c r="AZ8" i="44"/>
  <c r="AX8" i="44"/>
  <c r="AY8" i="44" s="1"/>
  <c r="AV8" i="44"/>
  <c r="AT8" i="44"/>
  <c r="BF7" i="44"/>
  <c r="AZ7" i="44"/>
  <c r="AX7" i="44"/>
  <c r="AY7" i="44" s="1"/>
  <c r="AV7" i="44"/>
  <c r="AT7" i="44"/>
  <c r="BF6" i="44"/>
  <c r="AZ6" i="44"/>
  <c r="AX6" i="44"/>
  <c r="AY6" i="44" s="1"/>
  <c r="AV6" i="44"/>
  <c r="AT6" i="44"/>
  <c r="BF5" i="44"/>
  <c r="AZ5" i="44"/>
  <c r="AX5" i="44"/>
  <c r="AY5" i="44" s="1"/>
  <c r="AV5" i="44"/>
  <c r="AT5" i="44"/>
  <c r="BF4" i="44"/>
  <c r="AZ4" i="44"/>
  <c r="AX4" i="44"/>
  <c r="AY4" i="44" s="1"/>
  <c r="AV4" i="44"/>
  <c r="AT4" i="44"/>
  <c r="BA14" i="44" l="1"/>
  <c r="BB14" i="44" s="1"/>
  <c r="BJ14" i="44" s="1"/>
  <c r="BA12" i="44"/>
  <c r="BB12" i="44" s="1"/>
  <c r="BW12" i="44" s="1"/>
  <c r="BA16" i="44"/>
  <c r="BB16" i="44" s="1"/>
  <c r="BC9" i="44"/>
  <c r="BD9" i="44" s="1"/>
  <c r="BA15" i="44"/>
  <c r="BB15" i="44" s="1"/>
  <c r="AT23" i="44"/>
  <c r="AY18" i="44"/>
  <c r="BA18" i="44" s="1"/>
  <c r="BB18" i="44" s="1"/>
  <c r="BA19" i="44"/>
  <c r="BB19" i="44" s="1"/>
  <c r="BI19" i="44" s="1"/>
  <c r="BA22" i="44"/>
  <c r="BB22" i="44" s="1"/>
  <c r="BK22" i="44" s="1"/>
  <c r="BA6" i="44"/>
  <c r="BB6" i="44" s="1"/>
  <c r="AW23" i="44"/>
  <c r="BA10" i="44"/>
  <c r="BB10" i="44" s="1"/>
  <c r="BA5" i="44"/>
  <c r="BB5" i="44" s="1"/>
  <c r="BX5" i="44" s="1"/>
  <c r="BA13" i="44"/>
  <c r="BB13" i="44" s="1"/>
  <c r="BN13" i="44" s="1"/>
  <c r="BA4" i="44"/>
  <c r="BB4" i="44" s="1"/>
  <c r="BU4" i="44" s="1"/>
  <c r="BU20" i="44" s="1"/>
  <c r="BA20" i="44"/>
  <c r="BB20" i="44" s="1"/>
  <c r="BA11" i="44"/>
  <c r="BB11" i="44" s="1"/>
  <c r="BA23" i="44"/>
  <c r="BB23" i="44" s="1"/>
  <c r="BA9" i="44"/>
  <c r="BB9" i="44" s="1"/>
  <c r="BA17" i="44"/>
  <c r="BB17" i="44" s="1"/>
  <c r="BI17" i="44" s="1"/>
  <c r="BA21" i="44"/>
  <c r="BB21" i="44" s="1"/>
  <c r="BA7" i="44"/>
  <c r="BB7" i="44" s="1"/>
  <c r="BA8" i="44"/>
  <c r="BB8" i="44" s="1"/>
  <c r="BQ5" i="44" l="1"/>
  <c r="BY5" i="44"/>
  <c r="BP23" i="44"/>
  <c r="BI5" i="44"/>
  <c r="BN14" i="44"/>
  <c r="BM14" i="44"/>
  <c r="BL23" i="44"/>
  <c r="BM22" i="44"/>
  <c r="BN22" i="44"/>
  <c r="BL12" i="44"/>
  <c r="BU14" i="44"/>
  <c r="BQ23" i="44"/>
  <c r="BI14" i="44"/>
  <c r="BR14" i="44"/>
  <c r="BZ14" i="44"/>
  <c r="BX14" i="44"/>
  <c r="BN5" i="44"/>
  <c r="BO22" i="44"/>
  <c r="BK14" i="44"/>
  <c r="BM5" i="44"/>
  <c r="BM23" i="44"/>
  <c r="BH12" i="44"/>
  <c r="CA14" i="44"/>
  <c r="BO14" i="44"/>
  <c r="BL14" i="44"/>
  <c r="BW14" i="44"/>
  <c r="BZ5" i="44"/>
  <c r="BT12" i="44"/>
  <c r="BN23" i="44"/>
  <c r="BS14" i="44"/>
  <c r="BT5" i="44"/>
  <c r="BP14" i="44"/>
  <c r="BQ14" i="44"/>
  <c r="BW5" i="44"/>
  <c r="BT14" i="44"/>
  <c r="BY14" i="44"/>
  <c r="BO23" i="44"/>
  <c r="BH14" i="44"/>
  <c r="BV14" i="44"/>
  <c r="BK5" i="44"/>
  <c r="BN12" i="44"/>
  <c r="CA12" i="44"/>
  <c r="BY12" i="44"/>
  <c r="BT13" i="44"/>
  <c r="BW4" i="44"/>
  <c r="BW20" i="44" s="1"/>
  <c r="BZ12" i="44"/>
  <c r="BP12" i="44"/>
  <c r="BK12" i="44"/>
  <c r="BY13" i="44"/>
  <c r="BU12" i="44"/>
  <c r="BR4" i="44"/>
  <c r="BR20" i="44" s="1"/>
  <c r="BV12" i="44"/>
  <c r="BX12" i="44"/>
  <c r="BS12" i="44"/>
  <c r="BM12" i="44"/>
  <c r="BJ23" i="44"/>
  <c r="BQ12" i="44"/>
  <c r="BI23" i="44"/>
  <c r="BR12" i="44"/>
  <c r="BO12" i="44"/>
  <c r="BY4" i="44"/>
  <c r="BY20" i="44" s="1"/>
  <c r="BK23" i="44"/>
  <c r="BJ12" i="44"/>
  <c r="BI12" i="44"/>
  <c r="BO4" i="44"/>
  <c r="BO20" i="44" s="1"/>
  <c r="BL5" i="44"/>
  <c r="BH22" i="44"/>
  <c r="BM4" i="44"/>
  <c r="BM20" i="44" s="1"/>
  <c r="BQ4" i="44"/>
  <c r="BQ20" i="44" s="1"/>
  <c r="BI22" i="44"/>
  <c r="BQ22" i="44"/>
  <c r="CA4" i="44"/>
  <c r="CA20" i="44" s="1"/>
  <c r="BP22" i="44"/>
  <c r="BL4" i="44"/>
  <c r="BL20" i="44" s="1"/>
  <c r="BJ22" i="44"/>
  <c r="BL22" i="44"/>
  <c r="BO13" i="44"/>
  <c r="BV4" i="44"/>
  <c r="BV20" i="44" s="1"/>
  <c r="BS5" i="44"/>
  <c r="BV13" i="44"/>
  <c r="BS4" i="44"/>
  <c r="BS20" i="44" s="1"/>
  <c r="BO5" i="44"/>
  <c r="BH13" i="44"/>
  <c r="BJ4" i="44"/>
  <c r="BJ20" i="44" s="1"/>
  <c r="BH5" i="44"/>
  <c r="BH23" i="44"/>
  <c r="BW13" i="44"/>
  <c r="BP13" i="44"/>
  <c r="BI4" i="44"/>
  <c r="BI20" i="44" s="1"/>
  <c r="BT4" i="44"/>
  <c r="BT20" i="44" s="1"/>
  <c r="BX4" i="44"/>
  <c r="BX20" i="44" s="1"/>
  <c r="BR5" i="44"/>
  <c r="BP5" i="44"/>
  <c r="BJ13" i="44"/>
  <c r="BU13" i="44"/>
  <c r="BN4" i="44"/>
  <c r="BN20" i="44" s="1"/>
  <c r="BH4" i="44"/>
  <c r="BH20" i="44" s="1"/>
  <c r="BV5" i="44"/>
  <c r="BK13" i="44"/>
  <c r="BZ4" i="44"/>
  <c r="BZ20" i="44" s="1"/>
  <c r="BP4" i="44"/>
  <c r="BP20" i="44" s="1"/>
  <c r="CA5" i="44"/>
  <c r="BR13" i="44"/>
  <c r="BL13" i="44"/>
  <c r="BX13" i="44"/>
  <c r="BK4" i="44"/>
  <c r="BK20" i="44" s="1"/>
  <c r="BU5" i="44"/>
  <c r="BJ5" i="44"/>
  <c r="BS13" i="44"/>
  <c r="BZ13" i="44"/>
  <c r="BI13" i="44"/>
  <c r="CA13" i="44"/>
  <c r="BM13" i="44"/>
  <c r="BQ13" i="44"/>
  <c r="BU18" i="44"/>
  <c r="BM18" i="44"/>
  <c r="CA18" i="44"/>
  <c r="BS18" i="44"/>
  <c r="BK18" i="44"/>
  <c r="BZ18" i="44"/>
  <c r="BR18" i="44"/>
  <c r="BJ18" i="44"/>
  <c r="BX18" i="44"/>
  <c r="BP18" i="44"/>
  <c r="BH18" i="44"/>
  <c r="BV18" i="44"/>
  <c r="BN18" i="44"/>
  <c r="BQ18" i="44"/>
  <c r="BL18" i="44"/>
  <c r="BI18" i="44"/>
  <c r="BY18" i="44"/>
  <c r="BW18" i="44"/>
  <c r="BT18" i="44"/>
  <c r="BO18" i="44"/>
  <c r="CA7" i="44"/>
  <c r="BS7" i="44"/>
  <c r="BK7" i="44"/>
  <c r="BZ7" i="44"/>
  <c r="BR7" i="44"/>
  <c r="BJ7" i="44"/>
  <c r="BV7" i="44"/>
  <c r="BL7" i="44"/>
  <c r="BU7" i="44"/>
  <c r="BQ7" i="44"/>
  <c r="BT7" i="44"/>
  <c r="BH7" i="44"/>
  <c r="BP7" i="44"/>
  <c r="BY7" i="44"/>
  <c r="BO7" i="44"/>
  <c r="BW7" i="44"/>
  <c r="BM7" i="44"/>
  <c r="BI7" i="44"/>
  <c r="BX7" i="44"/>
  <c r="BN7" i="44"/>
  <c r="T12" i="62" l="1"/>
  <c r="T11" i="62"/>
  <c r="T15" i="62"/>
  <c r="Q58" i="62" l="1"/>
  <c r="N58" i="62"/>
  <c r="U58" i="62" s="1"/>
  <c r="M58" i="62"/>
  <c r="Q57" i="62"/>
  <c r="N57" i="62"/>
  <c r="O57" i="62" s="1"/>
  <c r="M57" i="62"/>
  <c r="Q56" i="62"/>
  <c r="N56" i="62"/>
  <c r="U56" i="62" s="1"/>
  <c r="M56" i="62"/>
  <c r="U55" i="62"/>
  <c r="Q55" i="62"/>
  <c r="N55" i="62"/>
  <c r="O55" i="62" s="1"/>
  <c r="M55" i="62"/>
  <c r="Q54" i="62"/>
  <c r="M54" i="62"/>
  <c r="N54" i="62" s="1"/>
  <c r="Q53" i="62"/>
  <c r="M53" i="62"/>
  <c r="N53" i="62" s="1"/>
  <c r="Q52" i="62"/>
  <c r="N52" i="62"/>
  <c r="U52" i="62" s="1"/>
  <c r="M52" i="62"/>
  <c r="Q51" i="62"/>
  <c r="M51" i="62"/>
  <c r="N51" i="62" s="1"/>
  <c r="Q50" i="62"/>
  <c r="M50" i="62"/>
  <c r="N50" i="62" s="1"/>
  <c r="Q49" i="62"/>
  <c r="M49" i="62"/>
  <c r="N49" i="62" s="1"/>
  <c r="Q48" i="62"/>
  <c r="M48" i="62"/>
  <c r="N48" i="62" s="1"/>
  <c r="Q47" i="62"/>
  <c r="M47" i="62"/>
  <c r="N47" i="62" s="1"/>
  <c r="Q46" i="62"/>
  <c r="M46" i="62"/>
  <c r="N46" i="62" s="1"/>
  <c r="Q30" i="62"/>
  <c r="P30" i="62"/>
  <c r="O30" i="62"/>
  <c r="N30" i="62"/>
  <c r="M30" i="62"/>
  <c r="L30" i="62"/>
  <c r="K30" i="62"/>
  <c r="J30" i="62"/>
  <c r="I30" i="62"/>
  <c r="H30" i="62"/>
  <c r="G30" i="62"/>
  <c r="F30" i="62"/>
  <c r="E30" i="62"/>
  <c r="D30" i="62"/>
  <c r="C30" i="62"/>
  <c r="B30" i="62"/>
  <c r="L20" i="62"/>
  <c r="L6" i="62" s="1"/>
  <c r="F20" i="62"/>
  <c r="E20" i="62"/>
  <c r="D20" i="62"/>
  <c r="D6" i="62" s="1"/>
  <c r="D9" i="62" s="1"/>
  <c r="L19" i="62"/>
  <c r="K19" i="62"/>
  <c r="K20" i="62" s="1"/>
  <c r="K6" i="62" s="1"/>
  <c r="K9" i="62" s="1"/>
  <c r="J19" i="62"/>
  <c r="J20" i="62" s="1"/>
  <c r="J6" i="62" s="1"/>
  <c r="J9" i="62" s="1"/>
  <c r="I19" i="62"/>
  <c r="I20" i="62" s="1"/>
  <c r="H19" i="62"/>
  <c r="H20" i="62" s="1"/>
  <c r="H6" i="62" s="1"/>
  <c r="H9" i="62" s="1"/>
  <c r="G19" i="62"/>
  <c r="G20" i="62" s="1"/>
  <c r="G6" i="62" s="1"/>
  <c r="G9" i="62" s="1"/>
  <c r="F19" i="62"/>
  <c r="E19" i="62"/>
  <c r="D19" i="62"/>
  <c r="C19" i="62"/>
  <c r="C20" i="62" s="1"/>
  <c r="C6" i="62" s="1"/>
  <c r="C9" i="62" s="1"/>
  <c r="B19" i="62"/>
  <c r="B20" i="62" s="1"/>
  <c r="B6" i="62" s="1"/>
  <c r="B9" i="62" s="1"/>
  <c r="C15" i="62"/>
  <c r="D15" i="62" s="1"/>
  <c r="E15" i="62" s="1"/>
  <c r="F15" i="62" s="1"/>
  <c r="G15" i="62" s="1"/>
  <c r="H15" i="62" s="1"/>
  <c r="I15" i="62" s="1"/>
  <c r="J15" i="62" s="1"/>
  <c r="K15" i="62" s="1"/>
  <c r="L15" i="62" s="1"/>
  <c r="M15" i="62" s="1"/>
  <c r="N15" i="62" s="1"/>
  <c r="O15" i="62" s="1"/>
  <c r="P15" i="62" s="1"/>
  <c r="Q15" i="62" s="1"/>
  <c r="Q10" i="62"/>
  <c r="Q13" i="62" s="1"/>
  <c r="P10" i="62"/>
  <c r="O10" i="62"/>
  <c r="O13" i="62" s="1"/>
  <c r="N10" i="62"/>
  <c r="N13" i="62" s="1"/>
  <c r="L10" i="62"/>
  <c r="L13" i="62" s="1"/>
  <c r="K10" i="62"/>
  <c r="K13" i="62" s="1"/>
  <c r="J10" i="62"/>
  <c r="J13" i="62" s="1"/>
  <c r="I10" i="62"/>
  <c r="I13" i="62" s="1"/>
  <c r="H10" i="62"/>
  <c r="H13" i="62" s="1"/>
  <c r="G10" i="62"/>
  <c r="G13" i="62" s="1"/>
  <c r="F10" i="62"/>
  <c r="F13" i="62" s="1"/>
  <c r="D10" i="62"/>
  <c r="D13" i="62" s="1"/>
  <c r="C10" i="62"/>
  <c r="C13" i="62" s="1"/>
  <c r="B10" i="62"/>
  <c r="B13" i="62" s="1"/>
  <c r="A10" i="62"/>
  <c r="A9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A8" i="62"/>
  <c r="M7" i="62"/>
  <c r="M10" i="62" s="1"/>
  <c r="M13" i="62" s="1"/>
  <c r="L7" i="62"/>
  <c r="K7" i="62"/>
  <c r="J7" i="62"/>
  <c r="H7" i="62"/>
  <c r="G7" i="62"/>
  <c r="F7" i="62"/>
  <c r="E7" i="62"/>
  <c r="E10" i="62" s="1"/>
  <c r="E13" i="62" s="1"/>
  <c r="D7" i="62"/>
  <c r="C7" i="62"/>
  <c r="B7" i="62"/>
  <c r="F6" i="62"/>
  <c r="F9" i="62" s="1"/>
  <c r="E6" i="62"/>
  <c r="E9" i="62" s="1"/>
  <c r="P13" i="62" l="1"/>
  <c r="AS8" i="44" s="1"/>
  <c r="BC8" i="44" s="1"/>
  <c r="BD8" i="44" s="1"/>
  <c r="AS11" i="44"/>
  <c r="BC11" i="44" s="1"/>
  <c r="BD11" i="44" s="1"/>
  <c r="U59" i="62"/>
  <c r="U46" i="62"/>
  <c r="O46" i="62"/>
  <c r="U51" i="62"/>
  <c r="O51" i="62"/>
  <c r="O50" i="62"/>
  <c r="U50" i="62"/>
  <c r="U48" i="62"/>
  <c r="O48" i="62"/>
  <c r="U54" i="62"/>
  <c r="O54" i="62"/>
  <c r="U47" i="62"/>
  <c r="O47" i="62"/>
  <c r="U49" i="62"/>
  <c r="O49" i="62"/>
  <c r="L9" i="62"/>
  <c r="M6" i="62"/>
  <c r="O53" i="62"/>
  <c r="U53" i="62"/>
  <c r="U57" i="62"/>
  <c r="O52" i="62"/>
  <c r="O56" i="62"/>
  <c r="O58" i="62"/>
  <c r="BS8" i="44" l="1"/>
  <c r="BQ8" i="44"/>
  <c r="BR8" i="44"/>
  <c r="BV8" i="44"/>
  <c r="BK8" i="44"/>
  <c r="BZ8" i="44"/>
  <c r="BX8" i="44"/>
  <c r="BU8" i="44"/>
  <c r="BW8" i="44"/>
  <c r="BP8" i="44"/>
  <c r="BM8" i="44"/>
  <c r="BN8" i="44"/>
  <c r="BL8" i="44"/>
  <c r="BH8" i="44"/>
  <c r="BT8" i="44"/>
  <c r="BJ8" i="44"/>
  <c r="CA8" i="44"/>
  <c r="BI8" i="44"/>
  <c r="BO8" i="44"/>
  <c r="BY8" i="44"/>
  <c r="M9" i="62"/>
  <c r="N9" i="62" l="1"/>
  <c r="AS6" i="44" l="1"/>
  <c r="BC6" i="44" s="1"/>
  <c r="BD6" i="44" s="1"/>
  <c r="O9" i="62"/>
  <c r="BL6" i="44" l="1"/>
  <c r="BI6" i="44"/>
  <c r="BO6" i="44"/>
  <c r="BH6" i="44"/>
  <c r="BP6" i="44"/>
  <c r="BS6" i="44"/>
  <c r="BZ6" i="44"/>
  <c r="BQ6" i="44"/>
  <c r="BK6" i="44"/>
  <c r="CA6" i="44"/>
  <c r="BW6" i="44"/>
  <c r="BX6" i="44"/>
  <c r="BM6" i="44"/>
  <c r="BV6" i="44"/>
  <c r="BN6" i="44"/>
  <c r="BR6" i="44"/>
  <c r="BU6" i="44"/>
  <c r="BY6" i="44"/>
  <c r="BT6" i="44"/>
  <c r="BJ6" i="44"/>
  <c r="Q6" i="62"/>
  <c r="Q9" i="62" s="1"/>
  <c r="P9" i="62"/>
  <c r="AS10" i="44" s="1"/>
  <c r="BC10" i="44" s="1"/>
  <c r="BD10" i="44" s="1"/>
  <c r="I6" i="60" l="1"/>
  <c r="I7" i="60"/>
  <c r="I8" i="60"/>
  <c r="I9" i="60"/>
  <c r="I10" i="60"/>
  <c r="I11" i="60"/>
  <c r="I12" i="60"/>
  <c r="I13" i="60"/>
  <c r="I14" i="60"/>
  <c r="I5" i="60"/>
  <c r="I4" i="60"/>
  <c r="I3" i="60"/>
  <c r="N19" i="66" l="1"/>
  <c r="O19" i="66" s="1"/>
  <c r="P19" i="66" s="1"/>
  <c r="N18" i="66"/>
  <c r="O18" i="66" s="1"/>
  <c r="P18" i="66" s="1"/>
  <c r="N17" i="66"/>
  <c r="O17" i="66" s="1"/>
  <c r="P17" i="66" s="1"/>
  <c r="N16" i="66"/>
  <c r="O16" i="66" s="1"/>
  <c r="P16" i="66" s="1"/>
  <c r="N15" i="66"/>
  <c r="O15" i="66" s="1"/>
  <c r="P15" i="66" s="1"/>
  <c r="N14" i="66"/>
  <c r="O14" i="66" s="1"/>
  <c r="P14" i="66" s="1"/>
  <c r="N13" i="66"/>
  <c r="O13" i="66" s="1"/>
  <c r="P13" i="66" s="1"/>
  <c r="N12" i="66"/>
  <c r="O12" i="66" s="1"/>
  <c r="P12" i="66" s="1"/>
  <c r="N11" i="66"/>
  <c r="O11" i="66" s="1"/>
  <c r="P11" i="66" s="1"/>
  <c r="N10" i="66"/>
  <c r="O10" i="66" s="1"/>
  <c r="P10" i="66" s="1"/>
  <c r="N9" i="66"/>
  <c r="O9" i="66" s="1"/>
  <c r="P9" i="66" s="1"/>
  <c r="N8" i="66"/>
  <c r="O8" i="66" s="1"/>
  <c r="P8" i="66" s="1"/>
  <c r="N7" i="66"/>
  <c r="O7" i="66" s="1"/>
  <c r="P7" i="66" s="1"/>
  <c r="N6" i="66"/>
  <c r="O6" i="66" s="1"/>
  <c r="P6" i="66" s="1"/>
  <c r="N5" i="66"/>
  <c r="N4" i="66"/>
  <c r="O4" i="66" l="1"/>
  <c r="N20" i="66"/>
  <c r="O5" i="66"/>
  <c r="N21" i="66"/>
  <c r="B3" i="65"/>
  <c r="B5" i="65" s="1"/>
  <c r="C3" i="65"/>
  <c r="C5" i="65" s="1"/>
  <c r="B4" i="65"/>
  <c r="C4" i="65"/>
  <c r="D4" i="65"/>
  <c r="B6" i="65"/>
  <c r="C6" i="65"/>
  <c r="B7" i="65"/>
  <c r="C7" i="65"/>
  <c r="D7" i="65"/>
  <c r="B8" i="65"/>
  <c r="C8" i="65"/>
  <c r="D8" i="65"/>
  <c r="B9" i="65"/>
  <c r="C9" i="65"/>
  <c r="D9" i="65"/>
  <c r="B10" i="65"/>
  <c r="C10" i="65"/>
  <c r="D10" i="65"/>
  <c r="B11" i="65"/>
  <c r="C11" i="65"/>
  <c r="D11" i="65"/>
  <c r="B12" i="65"/>
  <c r="C12" i="65"/>
  <c r="D12" i="65"/>
  <c r="B14" i="65"/>
  <c r="C14" i="65"/>
  <c r="D14" i="65"/>
  <c r="B15" i="65"/>
  <c r="B13" i="65" s="1"/>
  <c r="C15" i="65"/>
  <c r="D15" i="65"/>
  <c r="B16" i="65"/>
  <c r="C16" i="65"/>
  <c r="D16" i="65"/>
  <c r="B17" i="65"/>
  <c r="C17" i="65"/>
  <c r="D17" i="65"/>
  <c r="P5" i="66" l="1"/>
  <c r="P21" i="66" s="1"/>
  <c r="O21" i="66"/>
  <c r="P4" i="66"/>
  <c r="P20" i="66" s="1"/>
  <c r="O20" i="66"/>
  <c r="B21" i="66"/>
  <c r="B20" i="66"/>
  <c r="K13" i="65" l="1"/>
  <c r="D13" i="65" s="1"/>
  <c r="J13" i="65"/>
  <c r="C13" i="65" s="1"/>
  <c r="C5" i="73" l="1"/>
  <c r="D5" i="73"/>
  <c r="E5" i="73"/>
  <c r="F5" i="73"/>
  <c r="G5" i="73"/>
  <c r="H5" i="73"/>
  <c r="I5" i="73"/>
  <c r="J5" i="73"/>
  <c r="K5" i="73"/>
  <c r="L5" i="73"/>
  <c r="M5" i="73"/>
  <c r="N5" i="73"/>
  <c r="B5" i="73"/>
  <c r="F14" i="71" l="1"/>
  <c r="E14" i="71"/>
  <c r="F13" i="71"/>
  <c r="E13" i="71"/>
  <c r="F11" i="71"/>
  <c r="E11" i="71"/>
  <c r="D11" i="71"/>
  <c r="C11" i="71"/>
  <c r="F10" i="71"/>
  <c r="E10" i="71"/>
  <c r="D10" i="71"/>
  <c r="C10" i="71"/>
  <c r="D8" i="71"/>
  <c r="H8" i="71" s="1"/>
  <c r="C8" i="71"/>
  <c r="G8" i="71" s="1"/>
  <c r="D7" i="71"/>
  <c r="H7" i="71" s="1"/>
  <c r="C7" i="71"/>
  <c r="G7" i="71" s="1"/>
  <c r="D6" i="71"/>
  <c r="C6" i="71"/>
  <c r="D5" i="71"/>
  <c r="H5" i="71" s="1"/>
  <c r="C5" i="71"/>
  <c r="G5" i="71" s="1"/>
  <c r="G11" i="71" l="1"/>
  <c r="H11" i="71"/>
  <c r="D13" i="71"/>
  <c r="H13" i="71" s="1"/>
  <c r="C13" i="71"/>
  <c r="G13" i="71" s="1"/>
  <c r="C14" i="71"/>
  <c r="G14" i="71" s="1"/>
  <c r="G10" i="71"/>
  <c r="D14" i="71"/>
  <c r="H14" i="71" s="1"/>
  <c r="H10" i="71"/>
  <c r="G6" i="71"/>
  <c r="C16" i="71"/>
  <c r="G16" i="71" s="1"/>
  <c r="D16" i="71"/>
  <c r="H16" i="71" s="1"/>
  <c r="H6" i="71"/>
  <c r="O2" i="60" l="1"/>
  <c r="H4" i="60" s="1"/>
  <c r="H14" i="60" l="1"/>
  <c r="H10" i="60"/>
  <c r="H9" i="60"/>
  <c r="H13" i="60"/>
  <c r="H11" i="60"/>
  <c r="H7" i="60"/>
  <c r="H6" i="60"/>
  <c r="H3" i="60"/>
  <c r="H5" i="60"/>
  <c r="H12" i="60"/>
  <c r="H8" i="60"/>
  <c r="N2" i="60" l="1"/>
  <c r="G4" i="60" s="1"/>
  <c r="G9" i="60" l="1"/>
  <c r="G10" i="60"/>
  <c r="G11" i="60"/>
  <c r="G8" i="60"/>
  <c r="G3" i="60"/>
  <c r="G7" i="60"/>
  <c r="G14" i="60"/>
  <c r="G6" i="60"/>
  <c r="G13" i="60"/>
  <c r="G5" i="60"/>
  <c r="G12" i="60"/>
  <c r="E4" i="60" l="1"/>
  <c r="E5" i="60"/>
  <c r="E6" i="60"/>
  <c r="E7" i="60"/>
  <c r="E8" i="60"/>
  <c r="E9" i="60"/>
  <c r="E10" i="60"/>
  <c r="E11" i="60"/>
  <c r="E12" i="60"/>
  <c r="E13" i="60"/>
  <c r="E14" i="60"/>
  <c r="E3" i="60"/>
</calcChain>
</file>

<file path=xl/sharedStrings.xml><?xml version="1.0" encoding="utf-8"?>
<sst xmlns="http://schemas.openxmlformats.org/spreadsheetml/2006/main" count="939" uniqueCount="299">
  <si>
    <t>apr</t>
  </si>
  <si>
    <t>jun</t>
  </si>
  <si>
    <t>jul</t>
  </si>
  <si>
    <t>aug</t>
  </si>
  <si>
    <t>sep</t>
  </si>
  <si>
    <t>nov</t>
  </si>
  <si>
    <t>may</t>
  </si>
  <si>
    <t>oct</t>
  </si>
  <si>
    <t>dec</t>
  </si>
  <si>
    <t>flex_premium</t>
  </si>
  <si>
    <t>scarcity price LT</t>
  </si>
  <si>
    <t>scarcity price ST</t>
  </si>
  <si>
    <t>jan</t>
  </si>
  <si>
    <t>feb</t>
  </si>
  <si>
    <t>mar</t>
  </si>
  <si>
    <t>rt_premium</t>
  </si>
  <si>
    <t>GER</t>
  </si>
  <si>
    <t>capacity
(GW)</t>
  </si>
  <si>
    <t>hydro</t>
  </si>
  <si>
    <t>biomass</t>
  </si>
  <si>
    <t>solar</t>
  </si>
  <si>
    <t>waste</t>
  </si>
  <si>
    <t>other RES</t>
  </si>
  <si>
    <t>energy
(TWh)</t>
  </si>
  <si>
    <t>non-RES</t>
  </si>
  <si>
    <t>generation</t>
  </si>
  <si>
    <t>SWE</t>
  </si>
  <si>
    <t>consumption</t>
  </si>
  <si>
    <t>TWh</t>
  </si>
  <si>
    <t>Report XXX, scenario YYY, p. ZZZ, www.XXX.com</t>
  </si>
  <si>
    <t>wind onshore</t>
  </si>
  <si>
    <t>wind offshore</t>
  </si>
  <si>
    <t>Mt CO2</t>
  </si>
  <si>
    <t>emissions</t>
  </si>
  <si>
    <t>"today"
(20XX)</t>
  </si>
  <si>
    <t>hard coal</t>
  </si>
  <si>
    <t>lignithe</t>
  </si>
  <si>
    <t>gas</t>
  </si>
  <si>
    <t>nuklear</t>
  </si>
  <si>
    <t>oil</t>
  </si>
  <si>
    <t>other conventional</t>
  </si>
  <si>
    <t>RES</t>
  </si>
  <si>
    <t>...</t>
  </si>
  <si>
    <t>POL</t>
  </si>
  <si>
    <t>NLD</t>
  </si>
  <si>
    <t>BEL</t>
  </si>
  <si>
    <t>FRA</t>
  </si>
  <si>
    <t>NOR</t>
  </si>
  <si>
    <t>DK</t>
  </si>
  <si>
    <t>GBR</t>
  </si>
  <si>
    <t>OCGT</t>
  </si>
  <si>
    <t>nucl</t>
  </si>
  <si>
    <t>lign</t>
  </si>
  <si>
    <t>coal</t>
  </si>
  <si>
    <t>CCGT</t>
  </si>
  <si>
    <t>shed</t>
  </si>
  <si>
    <t>Germany</t>
  </si>
  <si>
    <t>total variable cost
(€/MWh)</t>
  </si>
  <si>
    <t>invest</t>
  </si>
  <si>
    <t>varcost</t>
  </si>
  <si>
    <t>qfixcost</t>
  </si>
  <si>
    <t>co2int</t>
  </si>
  <si>
    <t>CO2 Price</t>
  </si>
  <si>
    <t>min</t>
  </si>
  <si>
    <t>DKW</t>
  </si>
  <si>
    <t>DKE</t>
  </si>
  <si>
    <t>from
to</t>
  </si>
  <si>
    <t>IRL</t>
  </si>
  <si>
    <t>PRT</t>
  </si>
  <si>
    <t>ESP</t>
  </si>
  <si>
    <t>LUX</t>
  </si>
  <si>
    <t>FIN</t>
  </si>
  <si>
    <t>CHE</t>
  </si>
  <si>
    <t>ITA</t>
  </si>
  <si>
    <t>AUT</t>
  </si>
  <si>
    <t>SVN</t>
  </si>
  <si>
    <t>CZE</t>
  </si>
  <si>
    <t>SVK</t>
  </si>
  <si>
    <t>HUN</t>
  </si>
  <si>
    <t>GRC</t>
  </si>
  <si>
    <t>ROU</t>
  </si>
  <si>
    <t>HRV</t>
  </si>
  <si>
    <t>BIH</t>
  </si>
  <si>
    <t>SRB</t>
  </si>
  <si>
    <t>MNE</t>
  </si>
  <si>
    <t>MKD</t>
  </si>
  <si>
    <t>BGR</t>
  </si>
  <si>
    <t>Irland/Northirland</t>
  </si>
  <si>
    <t>Great Britain</t>
  </si>
  <si>
    <t>Portugal</t>
  </si>
  <si>
    <t>Spain</t>
  </si>
  <si>
    <t>France</t>
  </si>
  <si>
    <t>Belgium</t>
  </si>
  <si>
    <t>Netherlands</t>
  </si>
  <si>
    <t>Luxemburg</t>
  </si>
  <si>
    <t>Denmark West</t>
  </si>
  <si>
    <t>Denmark Est</t>
  </si>
  <si>
    <t>Norway</t>
  </si>
  <si>
    <t>Sweden</t>
  </si>
  <si>
    <t>Finland</t>
  </si>
  <si>
    <t>Switzerland</t>
  </si>
  <si>
    <t>Italien</t>
  </si>
  <si>
    <t>Austria</t>
  </si>
  <si>
    <t>Slovenia</t>
  </si>
  <si>
    <t>Poland</t>
  </si>
  <si>
    <t>Czech Republic</t>
  </si>
  <si>
    <t>Slovakia</t>
  </si>
  <si>
    <t>Hungary</t>
  </si>
  <si>
    <t>Greece</t>
  </si>
  <si>
    <t>Romania</t>
  </si>
  <si>
    <t>Croatia</t>
  </si>
  <si>
    <t xml:space="preserve">Bosnia Herzegovina </t>
  </si>
  <si>
    <t>Serbia</t>
  </si>
  <si>
    <t xml:space="preserve">Montenegro </t>
  </si>
  <si>
    <t>Macedonia</t>
  </si>
  <si>
    <t>Bulgaria</t>
  </si>
  <si>
    <t>HVAC=1 HVDC=2; land connections were assumed to be AC and sea cables to be DC (Source: Peter Kämpfer)</t>
  </si>
  <si>
    <t>avail_FRA_nuc</t>
  </si>
  <si>
    <t>gasprice</t>
  </si>
  <si>
    <t>total cost
incl. RT</t>
  </si>
  <si>
    <t>Light blue area is used in EMMA.</t>
  </si>
  <si>
    <t>(scarcity price)</t>
  </si>
  <si>
    <t>Ligh blue area is used in EMMA</t>
  </si>
  <si>
    <t>Monthly fluctuating parameters (Sources: Own assumptions)</t>
  </si>
  <si>
    <t>Distance in km from country center to country center; own estimates.</t>
  </si>
  <si>
    <t>eff_new</t>
  </si>
  <si>
    <t>avail</t>
  </si>
  <si>
    <t>avail_mod</t>
  </si>
  <si>
    <t>qfix-cost mark-up for RT</t>
  </si>
  <si>
    <t>as in r_tec</t>
  </si>
  <si>
    <t>lifetime</t>
  </si>
  <si>
    <t>hydr</t>
  </si>
  <si>
    <t>inflow_SWE</t>
  </si>
  <si>
    <t>ROR_GER</t>
  </si>
  <si>
    <t>ror</t>
  </si>
  <si>
    <t>PHS</t>
  </si>
  <si>
    <t>avail thermal</t>
  </si>
  <si>
    <t>avail other</t>
  </si>
  <si>
    <t>CO2 prices in €/t</t>
  </si>
  <si>
    <t>DNK</t>
  </si>
  <si>
    <t>All</t>
  </si>
  <si>
    <t>aR</t>
  </si>
  <si>
    <t>'08</t>
  </si>
  <si>
    <t>'09</t>
  </si>
  <si>
    <t>'10</t>
  </si>
  <si>
    <t>'11</t>
  </si>
  <si>
    <t>'12</t>
  </si>
  <si>
    <t>'13</t>
  </si>
  <si>
    <t>'14</t>
  </si>
  <si>
    <t>'15</t>
  </si>
  <si>
    <t>'16</t>
  </si>
  <si>
    <t>bio</t>
  </si>
  <si>
    <t>batr</t>
  </si>
  <si>
    <t>invest
(€/kW)</t>
  </si>
  <si>
    <t xml:space="preserve"> fix cost incl RT &amp; Flex &amp; Bal (€/kW*a)</t>
  </si>
  <si>
    <t xml:space="preserve"> fix cost incl RT &amp; Flex &amp; availability (€/kW*a)</t>
  </si>
  <si>
    <t>Data sources and comments</t>
  </si>
  <si>
    <t>SE1</t>
  </si>
  <si>
    <t>SE2</t>
  </si>
  <si>
    <t>SE3</t>
  </si>
  <si>
    <t>SE4</t>
  </si>
  <si>
    <t>Einheit</t>
  </si>
  <si>
    <t>km</t>
  </si>
  <si>
    <t>Mrd €</t>
  </si>
  <si>
    <t>Mio €/km</t>
  </si>
  <si>
    <t>Szenario</t>
  </si>
  <si>
    <t>B 2030</t>
  </si>
  <si>
    <t>B 2035</t>
  </si>
  <si>
    <t>DC-Startnetz</t>
  </si>
  <si>
    <t>DC-Zubaunetz</t>
  </si>
  <si>
    <t>AC-Startnetz</t>
  </si>
  <si>
    <t>AC-Zubaunetz</t>
  </si>
  <si>
    <t>DC Start- und Zubaunetz</t>
  </si>
  <si>
    <t>AC Start- und Zubaunetz</t>
  </si>
  <si>
    <t>Startnetz</t>
  </si>
  <si>
    <t>Zubaunetz</t>
  </si>
  <si>
    <t>Summe</t>
  </si>
  <si>
    <t>https://www.netzentwicklungsplan.de/sites/default/files/paragraphs-files/NEP_2030_V2019_1_Entwurf_Zahlen-Daten-Fakten.pdf#page=10</t>
  </si>
  <si>
    <t>AC-Verstärkung</t>
  </si>
  <si>
    <t>DC-Verstärkung</t>
  </si>
  <si>
    <t>AC-Neubau</t>
  </si>
  <si>
    <t>DC-Neubau</t>
  </si>
  <si>
    <t>Zu- / Umbeseilung</t>
  </si>
  <si>
    <t>Neubau in Bestandstrasse</t>
  </si>
  <si>
    <t>Zubaunetz B 2030</t>
  </si>
  <si>
    <t>Zubaunetz B 2035</t>
  </si>
  <si>
    <t>Start- und Zubaunetz B 2030</t>
  </si>
  <si>
    <t>Start- und Zubaunetz B 2035</t>
  </si>
  <si>
    <t>Current</t>
  </si>
  <si>
    <t>energy</t>
  </si>
  <si>
    <t>Fuel cost
(€/MWht)
- from fuel -</t>
  </si>
  <si>
    <t>Generation</t>
  </si>
  <si>
    <t>Exogenous</t>
  </si>
  <si>
    <t>Storage</t>
  </si>
  <si>
    <t>No invest</t>
  </si>
  <si>
    <t>dispatch</t>
  </si>
  <si>
    <t>Reneawble energy policy objectives (Source: Paul Deane)</t>
  </si>
  <si>
    <t xml:space="preserve"> </t>
  </si>
  <si>
    <t>qfix after RT</t>
  </si>
  <si>
    <t>LTE</t>
  </si>
  <si>
    <t>Balancing cost (€/MWh)</t>
  </si>
  <si>
    <t>FLH potential</t>
  </si>
  <si>
    <t>Bidding cost</t>
  </si>
  <si>
    <t>wion</t>
  </si>
  <si>
    <t>wiof</t>
  </si>
  <si>
    <t>EMMA</t>
  </si>
  <si>
    <t>UBA</t>
  </si>
  <si>
    <t>NEP</t>
  </si>
  <si>
    <t>UBA (2016)</t>
  </si>
  <si>
    <t>Juhrich, K. (2016): CO2-Emissionsfaktoren für fossile Brennstoffe. Climate Change 27/2016. Fachgebiet Emissionssituation (I 2.6). Umweltbundesamt. Berlin.</t>
  </si>
  <si>
    <t>NEP (2019)</t>
  </si>
  <si>
    <t>Netzentwicklungsplan Strom 2030. Version 2019. 2. Entwurf.</t>
  </si>
  <si>
    <t>CO2 intenstiy</t>
  </si>
  <si>
    <t>ETS</t>
  </si>
  <si>
    <t>from (rows) \ to (cols)</t>
  </si>
  <si>
    <t>- for all countries but Great Britain: http://webs.schule.at/website/Europa/Europa_centre_en.htm</t>
  </si>
  <si>
    <t>- for Great Britain: https://en.wikipedia.org/wiki/Centre_points_of_the_United_Kingdom</t>
  </si>
  <si>
    <t>Distance Calculator:</t>
  </si>
  <si>
    <t>https://www.distancecalculator.net/</t>
  </si>
  <si>
    <t>https://www.mapdevelopers.com/distance_from_to.php</t>
  </si>
  <si>
    <t>Sources for geographic center:</t>
  </si>
  <si>
    <t>Conversion efficiency
(existing)
- from data0 -</t>
  </si>
  <si>
    <t>DEFAULT</t>
  </si>
  <si>
    <t>-</t>
  </si>
  <si>
    <t>Storage E2P</t>
  </si>
  <si>
    <t>invest
(€/kWh)</t>
  </si>
  <si>
    <t>Yearly electricity demand in TWh (Source: IEA Monthly electricity statistics)</t>
  </si>
  <si>
    <t>'17</t>
  </si>
  <si>
    <t>'18</t>
  </si>
  <si>
    <t>INFOBOX
- Source: IEA Monthly OECD Electricity Statistics http://www.iea.org/statistics/relatedsurveys/monthlyelectricitysurvey/
- yload = electricity supplied - used for pumped hydro
- Values from 2016 on are based on "New Breakdown"
- Values 2008-2015 the "New Breakdown" is not available, so we use the "Old Breakdown" and assume pumped hydro to be equal to the 2016-2019 average of the "New Breakdown"
Note:
- Numbers are somewhat different to Eurostat's Inland Demand (ID) (nrg_cb_e). Example: ID for BE, FR &amp; DE in 2016 are 87, 492 and 556, as well as in 2018 are 88, 488 and 552.
- IEA Data was chosen vs. Eurostat because 1. more recent data &amp; 2. CH included</t>
  </si>
  <si>
    <t>GBR Carbon Price Support</t>
  </si>
  <si>
    <t>Info
- ETS prices are calculated as the average of daily ICAP data https://icapcarbonaction.com/en/ets-prices
- UK Carbon Price Support is taken from https://www.uktradeinfo.com/Statistics/Pages/TaxAndDutyBulletins.aspx (Climate Change Levy)
and transformed in €/tCO2
- UK Carbon Support is frozen since 2015 and has been frozen till 2020 at 18Pund/tCO2. The target price is always set a couple of years in advance (UK Gov 2019 https://www.google.de/url?sa=t&amp;rct=j&amp;q=&amp;esrc=s&amp;source=web&amp;cd=2&amp;cad=rja&amp;uact=8&amp;ved=2ahUKEwim65qb5o3pAhVNUhoKHahPAhIQFjABegQIChAE&amp;url=https%3A%2F%2Fresearchbriefings.files.parliament.uk%2Fdocuments%2FSN05927%2FSN05927.pdf&amp;usg=AOvVaw3zVdh5OARtAvLuGhepU_rV)
EXCHANGE RATE: https://www.xe.com/de/currencyconverter/convert/?Amount=18&amp;From=GBP&amp;To=EUR (1,14527 EUR/GBP on 29.04.2020)</t>
  </si>
  <si>
    <t>'19</t>
  </si>
  <si>
    <t>annualized invest
(€/kW*a)</t>
  </si>
  <si>
    <t>annualized invest
(€/kWh*a)</t>
  </si>
  <si>
    <t>Solar</t>
  </si>
  <si>
    <t>Wind onshore</t>
  </si>
  <si>
    <t>Wind offshore</t>
  </si>
  <si>
    <t>Production (TWh)</t>
  </si>
  <si>
    <t>Capacity (GW)</t>
  </si>
  <si>
    <t>Capacity factor</t>
  </si>
  <si>
    <t>Ruiz et al. 2019, https://doi.org/10.1016/j.esr.2019.100379 (Fig. 5 in the main document)</t>
  </si>
  <si>
    <t>JRC, 2019: http://data.europa.eu/89h/6d0774ec-4fe5-4ca3-8564-626f4927744e (Fig. 11, low, and Fig. 13 in the PDF document)</t>
  </si>
  <si>
    <t>all in km</t>
  </si>
  <si>
    <t>rp_depriciation</t>
  </si>
  <si>
    <t>rp_fuel</t>
  </si>
  <si>
    <t>rp_constraint</t>
  </si>
  <si>
    <t>invest_chp</t>
  </si>
  <si>
    <t>balancing</t>
  </si>
  <si>
    <t>Fuel costs in €/MWht</t>
  </si>
  <si>
    <t>$/Mt</t>
  </si>
  <si>
    <t>€/Mt</t>
  </si>
  <si>
    <t>€/MWh</t>
  </si>
  <si>
    <t>FLH for mid- and long-term scenarios</t>
  </si>
  <si>
    <t>Base year</t>
  </si>
  <si>
    <t>KPI</t>
  </si>
  <si>
    <t>reduction</t>
  </si>
  <si>
    <t>Hard coal: Nothwest Europe Marker Price</t>
  </si>
  <si>
    <t>Natural gas: IMF Community data portal (German Border Prices)</t>
  </si>
  <si>
    <t>from fuel</t>
  </si>
  <si>
    <t>from GAMS or data_ts</t>
  </si>
  <si>
    <t>Further cost inputs</t>
  </si>
  <si>
    <t>discountrate</t>
  </si>
  <si>
    <t>(€/MWh)</t>
  </si>
  <si>
    <t>curtailment</t>
  </si>
  <si>
    <t>CCGT_H2</t>
  </si>
  <si>
    <t>OCGT_H2</t>
  </si>
  <si>
    <t>PtHydrogen</t>
  </si>
  <si>
    <t>--&gt; can be complemeneted in GAMS by CLP "CO2"</t>
  </si>
  <si>
    <t>If hydrogen balance is activated, then:</t>
  </si>
  <si>
    <t>-&gt; The inland H2 is then endogenous</t>
  </si>
  <si>
    <t>Check:</t>
  </si>
  <si>
    <r>
      <rPr>
        <b/>
        <sz val="11"/>
        <color rgb="FF000000"/>
        <rFont val="Calibri"/>
        <family val="2"/>
      </rPr>
      <t>Suppl. CHP invest</t>
    </r>
    <r>
      <rPr>
        <sz val="11"/>
        <color indexed="8"/>
        <rFont val="Calibri"/>
        <family val="2"/>
      </rPr>
      <t xml:space="preserve">
(€/kW)</t>
    </r>
  </si>
  <si>
    <r>
      <rPr>
        <b/>
        <sz val="11"/>
        <color rgb="FF000000"/>
        <rFont val="Calibri"/>
        <family val="2"/>
      </rPr>
      <t>Lifetime</t>
    </r>
    <r>
      <rPr>
        <sz val="11"/>
        <color indexed="8"/>
        <rFont val="Calibri"/>
        <family val="2"/>
      </rPr>
      <t xml:space="preserve">
(years)</t>
    </r>
  </si>
  <si>
    <r>
      <rPr>
        <b/>
        <sz val="11"/>
        <color rgb="FF000000"/>
        <rFont val="Calibri"/>
        <family val="2"/>
      </rPr>
      <t xml:space="preserve">Fixed O&amp;M
</t>
    </r>
    <r>
      <rPr>
        <sz val="11"/>
        <color indexed="8"/>
        <rFont val="Calibri"/>
        <family val="2"/>
      </rPr>
      <t xml:space="preserve">
(€/kW*a)</t>
    </r>
  </si>
  <si>
    <r>
      <rPr>
        <b/>
        <sz val="11"/>
        <color rgb="FF000000"/>
        <rFont val="Calibri"/>
        <family val="2"/>
      </rPr>
      <t xml:space="preserve">Variable O&amp;M
</t>
    </r>
    <r>
      <rPr>
        <sz val="11"/>
        <color indexed="8"/>
        <rFont val="Calibri"/>
        <family val="2"/>
      </rPr>
      <t xml:space="preserve">
(€/MWhe)</t>
    </r>
  </si>
  <si>
    <r>
      <rPr>
        <b/>
        <sz val="11"/>
        <color rgb="FF000000"/>
        <rFont val="Calibri"/>
        <family val="2"/>
      </rPr>
      <t>Balancing cost</t>
    </r>
    <r>
      <rPr>
        <sz val="11"/>
        <color indexed="8"/>
        <rFont val="Calibri"/>
        <family val="2"/>
      </rPr>
      <t xml:space="preserve">
-VRE-
(€/MWhe)</t>
    </r>
  </si>
  <si>
    <r>
      <rPr>
        <b/>
        <sz val="11"/>
        <color rgb="FF000000"/>
        <rFont val="Calibri"/>
        <family val="2"/>
      </rPr>
      <t>CO2 intensity</t>
    </r>
    <r>
      <rPr>
        <sz val="11"/>
        <color indexed="8"/>
        <rFont val="Calibri"/>
        <family val="2"/>
      </rPr>
      <t xml:space="preserve">
(t/MWht)</t>
    </r>
  </si>
  <si>
    <r>
      <rPr>
        <b/>
        <sz val="11"/>
        <color rgb="FF000000"/>
        <rFont val="Calibri"/>
        <family val="2"/>
      </rPr>
      <t>Conversion efficiency</t>
    </r>
    <r>
      <rPr>
        <sz val="11"/>
        <color indexed="8"/>
        <rFont val="Calibri"/>
        <family val="2"/>
      </rPr>
      <t xml:space="preserve">
-newbuild-
(MWhe/MWht)</t>
    </r>
  </si>
  <si>
    <r>
      <rPr>
        <b/>
        <sz val="11"/>
        <color rgb="FF000000"/>
        <rFont val="Calibri"/>
        <family val="2"/>
      </rPr>
      <t>Run-through premium</t>
    </r>
    <r>
      <rPr>
        <sz val="11"/>
        <color indexed="8"/>
        <rFont val="Calibri"/>
        <family val="2"/>
      </rPr>
      <t xml:space="preserve">
(?)</t>
    </r>
  </si>
  <si>
    <r>
      <rPr>
        <b/>
        <sz val="11"/>
        <color rgb="FF000000"/>
        <rFont val="Calibri"/>
        <family val="2"/>
      </rPr>
      <t>Ramping depriciation</t>
    </r>
    <r>
      <rPr>
        <sz val="11"/>
        <color indexed="8"/>
        <rFont val="Calibri"/>
        <family val="2"/>
      </rPr>
      <t xml:space="preserve">
(€/MW)</t>
    </r>
  </si>
  <si>
    <r>
      <rPr>
        <b/>
        <sz val="11"/>
        <color rgb="FF000000"/>
        <rFont val="Calibri"/>
        <family val="2"/>
      </rPr>
      <t>Ramping
fuel</t>
    </r>
    <r>
      <rPr>
        <sz val="11"/>
        <color indexed="8"/>
        <rFont val="Calibri"/>
        <family val="2"/>
      </rPr>
      <t xml:space="preserve">
(MWth/MW)</t>
    </r>
  </si>
  <si>
    <r>
      <rPr>
        <b/>
        <sz val="11"/>
        <color rgb="FF000000"/>
        <rFont val="Calibri"/>
        <family val="2"/>
      </rPr>
      <t>Ramping constraint</t>
    </r>
    <r>
      <rPr>
        <sz val="11"/>
        <color indexed="8"/>
        <rFont val="Calibri"/>
        <family val="2"/>
      </rPr>
      <t xml:space="preserve">
(MW/MW/h)</t>
    </r>
  </si>
  <si>
    <r>
      <rPr>
        <b/>
        <sz val="11"/>
        <color rgb="FF000000"/>
        <rFont val="Calibri"/>
        <family val="2"/>
      </rPr>
      <t>Flexibility premium</t>
    </r>
    <r>
      <rPr>
        <sz val="11"/>
        <color indexed="8"/>
        <rFont val="Calibri"/>
        <family val="2"/>
      </rPr>
      <t xml:space="preserve">
(-)</t>
    </r>
  </si>
  <si>
    <t>Year</t>
  </si>
  <si>
    <t>*</t>
  </si>
  <si>
    <t>Attribute</t>
  </si>
  <si>
    <t>Demand</t>
  </si>
  <si>
    <r>
      <rPr>
        <b/>
        <sz val="11"/>
        <color rgb="FF000000"/>
        <rFont val="Calibri"/>
        <family val="2"/>
      </rPr>
      <t>Power invest</t>
    </r>
    <r>
      <rPr>
        <sz val="11"/>
        <color indexed="8"/>
        <rFont val="Calibri"/>
        <family val="2"/>
      </rPr>
      <t xml:space="preserve">
(€/kW)</t>
    </r>
  </si>
  <si>
    <r>
      <rPr>
        <b/>
        <sz val="11"/>
        <color rgb="FF000000"/>
        <rFont val="Calibri"/>
        <family val="2"/>
      </rPr>
      <t>Energy invest</t>
    </r>
    <r>
      <rPr>
        <sz val="11"/>
        <color indexed="8"/>
        <rFont val="Calibri"/>
        <family val="2"/>
      </rPr>
      <t xml:space="preserve">
-storages-
(€/kWh)</t>
    </r>
  </si>
  <si>
    <t>Hydrogen</t>
  </si>
  <si>
    <t>Electricity</t>
  </si>
  <si>
    <t>Non-electric hydrogen demand</t>
  </si>
  <si>
    <t>availability</t>
  </si>
  <si>
    <r>
      <rPr>
        <b/>
        <sz val="11"/>
        <color rgb="FF000000"/>
        <rFont val="Calibri"/>
        <family val="2"/>
      </rPr>
      <t>Availability</t>
    </r>
    <r>
      <rPr>
        <sz val="11"/>
        <color indexed="8"/>
        <rFont val="Calibri"/>
        <family val="2"/>
      </rPr>
      <t xml:space="preserve">
-new to all-
(-)</t>
    </r>
  </si>
  <si>
    <t>This value has been changed to sum(gene0) - net_sum(exp0) - gene0_PHS / eff_PHS</t>
  </si>
  <si>
    <t>Storage var. cost apply to discharging</t>
  </si>
  <si>
    <t>CO2 Emissions in Mt/year - Aggregation is used to cap emissions if --CARBONCAP=1</t>
  </si>
  <si>
    <t xml:space="preserve">Info
For 2015,2030,2050 gas and coal prices are taken from https://heatroadmap.eu/wp-content/uploads/2020/01/HRE_D6.1_Appendix_1.xlsx (based on lower heating value)
GAS PRICES
- Monthly $ per MMBtu market prices from IMF Community data portal (German Border Prices) https://www.imf.org/en/Research/commodity-prices (Data: "Downoad the data", Description of Var.: "By commoditiy, in terms of US$, market prices")
- Average of monthly values, multiplied by 3.4092 to get $ per MWh prices, converted results to € 
COAL PRICES
- Yearly values from Quandl (Northwest Europe Marker Price) https://www.quandl.com/data/BP/COAL_PRICES-Coal-Prices
- Converted to €, converted data from €/Metric ton to €/ MWh by dividing values by 8.141 (1 tonne of oil equivalent = 8.141MWh)
EXCHANGE RATE: https://www.xe.com/currencyconverter/convert/?Amount=1&amp;From=USD&amp;To=EUR (0.9194 EUR/USD on 08.04.2020)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</si>
</sst>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"/>
    <numFmt numFmtId="165" formatCode="0.00000"/>
  </numFmts>
  <fonts count="54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53"/>
      <name val="Calibri"/>
      <family val="2"/>
    </font>
    <font>
      <sz val="10"/>
      <color indexed="60"/>
      <name val="Calibri"/>
      <family val="2"/>
    </font>
    <font>
      <b/>
      <sz val="20"/>
      <name val="Calibri"/>
      <family val="2"/>
    </font>
    <font>
      <b/>
      <sz val="14"/>
      <color indexed="53"/>
      <name val="Calibri"/>
      <family val="2"/>
    </font>
    <font>
      <b/>
      <sz val="14"/>
      <color indexed="60"/>
      <name val="Calibri"/>
      <family val="2"/>
    </font>
    <font>
      <b/>
      <sz val="14"/>
      <color indexed="58"/>
      <name val="Calibri"/>
      <family val="2"/>
    </font>
    <font>
      <sz val="10"/>
      <color indexed="5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Times New Roman"/>
      <family val="1"/>
    </font>
    <font>
      <sz val="8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8"/>
      <name val="Calibri"/>
      <family val="2"/>
    </font>
    <font>
      <i/>
      <sz val="11"/>
      <color indexed="8"/>
      <name val="Calibri"/>
      <family val="2"/>
    </font>
    <font>
      <sz val="11"/>
      <color indexed="53"/>
      <name val="Calibri"/>
      <family val="2"/>
    </font>
    <font>
      <b/>
      <sz val="11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  <font>
      <sz val="11"/>
      <color rgb="FFFF0000"/>
      <name val="calibri"/>
      <family val="2"/>
    </font>
    <font>
      <i/>
      <sz val="11"/>
      <color theme="6" tint="-0.249977111117893"/>
      <name val="calibri"/>
      <family val="2"/>
    </font>
    <font>
      <sz val="11"/>
      <color theme="0" tint="-0.499984740745262"/>
      <name val="calibri"/>
      <family val="2"/>
    </font>
    <font>
      <sz val="10"/>
      <color rgb="FF69ADDB"/>
      <name val="calibri"/>
      <family val="2"/>
    </font>
    <font>
      <sz val="11"/>
      <color theme="0" tint="-0.249977111117893"/>
      <name val="calibri"/>
      <family val="2"/>
    </font>
    <font>
      <sz val="10"/>
      <name val="Arial"/>
      <family val="2"/>
    </font>
    <font>
      <sz val="11"/>
      <color rgb="FF00B050"/>
      <name val="calibri"/>
      <family val="2"/>
    </font>
    <font>
      <u/>
      <sz val="10"/>
      <color theme="10"/>
      <name val="Arial"/>
      <family val="2"/>
    </font>
    <font>
      <b/>
      <i/>
      <sz val="11"/>
      <color indexed="8"/>
      <name val="Calibri"/>
      <family val="2"/>
    </font>
    <font>
      <sz val="8"/>
      <name val="Arial"/>
      <family val="2"/>
    </font>
    <font>
      <i/>
      <sz val="11"/>
      <name val="calibri"/>
      <family val="2"/>
    </font>
    <font>
      <sz val="11"/>
      <color theme="0" tint="-0.34998626667073579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9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1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51"/>
      </patternFill>
    </fill>
    <fill>
      <patternFill patternType="gray0625">
        <bgColor indexed="9"/>
      </patternFill>
    </fill>
    <fill>
      <patternFill patternType="solid">
        <fgColor indexed="5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2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DD5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 style="thick">
        <color indexed="63"/>
      </top>
      <bottom/>
      <diagonal/>
    </border>
    <border>
      <left/>
      <right style="thin">
        <color indexed="13"/>
      </right>
      <top style="thick">
        <color indexed="63"/>
      </top>
      <bottom/>
      <diagonal/>
    </border>
    <border>
      <left style="thin">
        <color indexed="13"/>
      </left>
      <right/>
      <top/>
      <bottom style="thick">
        <color indexed="63"/>
      </bottom>
      <diagonal/>
    </border>
    <border>
      <left/>
      <right/>
      <top/>
      <bottom style="thick">
        <color indexed="63"/>
      </bottom>
      <diagonal/>
    </border>
    <border>
      <left/>
      <right style="thin">
        <color indexed="13"/>
      </right>
      <top/>
      <bottom style="thick">
        <color indexed="63"/>
      </bottom>
      <diagonal/>
    </border>
    <border>
      <left style="thick">
        <color indexed="63"/>
      </left>
      <right style="thin">
        <color indexed="13"/>
      </right>
      <top style="thick">
        <color indexed="63"/>
      </top>
      <bottom/>
      <diagonal/>
    </border>
    <border>
      <left style="thick">
        <color indexed="63"/>
      </left>
      <right style="thin">
        <color indexed="13"/>
      </right>
      <top/>
      <bottom/>
      <diagonal/>
    </border>
    <border>
      <left style="thick">
        <color indexed="63"/>
      </left>
      <right style="thin">
        <color indexed="13"/>
      </right>
      <top/>
      <bottom style="thick">
        <color indexed="63"/>
      </bottom>
      <diagonal/>
    </border>
    <border>
      <left style="thin">
        <color indexed="13"/>
      </left>
      <right/>
      <top style="thick">
        <color indexed="6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249977111117893"/>
      </top>
      <bottom/>
      <diagonal/>
    </border>
    <border>
      <left/>
      <right style="thin">
        <color theme="0" tint="-0.499984740745262"/>
      </right>
      <top style="thin">
        <color theme="0" tint="-0.24997711111789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771111178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249977111117893"/>
      </bottom>
      <diagonal/>
    </border>
    <border>
      <left/>
      <right style="thin">
        <color theme="0" tint="-0.499984740745262"/>
      </right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</borders>
  <cellStyleXfs count="72">
    <xf numFmtId="0" fontId="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2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2" borderId="0" applyNumberFormat="0" applyBorder="0" applyAlignment="0" applyProtection="0"/>
    <xf numFmtId="0" fontId="12" fillId="15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" borderId="0" applyNumberFormat="0" applyBorder="0" applyAlignment="0" applyProtection="0"/>
    <xf numFmtId="0" fontId="13" fillId="1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0" borderId="0" applyNumberFormat="0" applyBorder="0" applyAlignment="0" applyProtection="0"/>
    <xf numFmtId="0" fontId="13" fillId="18" borderId="0" applyNumberFormat="0" applyBorder="0" applyAlignment="0" applyProtection="0"/>
    <xf numFmtId="0" fontId="13" fillId="9" borderId="0" applyNumberFormat="0" applyBorder="0" applyAlignment="0" applyProtection="0"/>
    <xf numFmtId="4" fontId="25" fillId="0" borderId="3" applyFill="0" applyBorder="0" applyProtection="0">
      <alignment horizontal="right" vertical="center"/>
    </xf>
    <xf numFmtId="0" fontId="15" fillId="8" borderId="2" applyNumberFormat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3" borderId="0" applyNumberFormat="0" applyBorder="0" applyAlignment="0" applyProtection="0"/>
    <xf numFmtId="0" fontId="18" fillId="2" borderId="2" applyNumberFormat="0" applyAlignment="0" applyProtection="0"/>
    <xf numFmtId="0" fontId="20" fillId="24" borderId="0" applyNumberFormat="0" applyBorder="0" applyAlignment="0" applyProtection="0"/>
    <xf numFmtId="0" fontId="21" fillId="0" borderId="0"/>
    <xf numFmtId="0" fontId="1" fillId="0" borderId="0"/>
    <xf numFmtId="0" fontId="12" fillId="25" borderId="6" applyNumberFormat="0" applyFont="0" applyAlignment="0" applyProtection="0"/>
    <xf numFmtId="0" fontId="22" fillId="8" borderId="1" applyNumberFormat="0" applyAlignment="0" applyProtection="0"/>
    <xf numFmtId="0" fontId="14" fillId="5" borderId="0" applyNumberFormat="0" applyBorder="0" applyAlignment="0" applyProtection="0"/>
    <xf numFmtId="0" fontId="11" fillId="0" borderId="0"/>
    <xf numFmtId="0" fontId="12" fillId="0" borderId="0"/>
    <xf numFmtId="0" fontId="23" fillId="0" borderId="7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16" fillId="26" borderId="4" applyNumberFormat="0" applyAlignment="0" applyProtection="0"/>
    <xf numFmtId="9" fontId="4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9">
    <xf numFmtId="0" fontId="0" fillId="0" borderId="0" xfId="0"/>
    <xf numFmtId="0" fontId="3" fillId="27" borderId="0" xfId="0" applyFont="1" applyFill="1" applyAlignment="1">
      <alignment vertical="center"/>
    </xf>
    <xf numFmtId="0" fontId="3" fillId="27" borderId="0" xfId="0" applyFont="1" applyFill="1" applyAlignment="1">
      <alignment vertical="center" wrapText="1"/>
    </xf>
    <xf numFmtId="0" fontId="3" fillId="27" borderId="0" xfId="0" applyFont="1" applyFill="1" applyAlignment="1">
      <alignment horizontal="center" vertical="center"/>
    </xf>
    <xf numFmtId="0" fontId="4" fillId="28" borderId="0" xfId="0" applyFont="1" applyFill="1"/>
    <xf numFmtId="0" fontId="5" fillId="28" borderId="0" xfId="0" applyFont="1" applyFill="1"/>
    <xf numFmtId="0" fontId="5" fillId="29" borderId="0" xfId="0" applyFont="1" applyFill="1"/>
    <xf numFmtId="0" fontId="4" fillId="29" borderId="0" xfId="0" applyFont="1" applyFill="1"/>
    <xf numFmtId="1" fontId="2" fillId="28" borderId="0" xfId="0" applyNumberFormat="1" applyFont="1" applyFill="1"/>
    <xf numFmtId="1" fontId="4" fillId="28" borderId="0" xfId="0" applyNumberFormat="1" applyFont="1" applyFill="1"/>
    <xf numFmtId="1" fontId="4" fillId="28" borderId="11" xfId="0" applyNumberFormat="1" applyFont="1" applyFill="1" applyBorder="1"/>
    <xf numFmtId="1" fontId="5" fillId="28" borderId="12" xfId="0" applyNumberFormat="1" applyFont="1" applyFill="1" applyBorder="1"/>
    <xf numFmtId="1" fontId="5" fillId="28" borderId="13" xfId="0" applyNumberFormat="1" applyFont="1" applyFill="1" applyBorder="1"/>
    <xf numFmtId="1" fontId="5" fillId="28" borderId="0" xfId="0" applyNumberFormat="1" applyFont="1" applyFill="1"/>
    <xf numFmtId="1" fontId="5" fillId="28" borderId="11" xfId="0" applyNumberFormat="1" applyFont="1" applyFill="1" applyBorder="1"/>
    <xf numFmtId="1" fontId="2" fillId="29" borderId="0" xfId="0" applyNumberFormat="1" applyFont="1" applyFill="1"/>
    <xf numFmtId="1" fontId="4" fillId="29" borderId="0" xfId="0" applyNumberFormat="1" applyFont="1" applyFill="1"/>
    <xf numFmtId="1" fontId="4" fillId="29" borderId="11" xfId="0" applyNumberFormat="1" applyFont="1" applyFill="1" applyBorder="1"/>
    <xf numFmtId="1" fontId="5" fillId="29" borderId="12" xfId="0" applyNumberFormat="1" applyFont="1" applyFill="1" applyBorder="1"/>
    <xf numFmtId="1" fontId="5" fillId="29" borderId="13" xfId="0" applyNumberFormat="1" applyFont="1" applyFill="1" applyBorder="1"/>
    <xf numFmtId="1" fontId="5" fillId="29" borderId="0" xfId="0" applyNumberFormat="1" applyFont="1" applyFill="1"/>
    <xf numFmtId="1" fontId="5" fillId="29" borderId="11" xfId="0" applyNumberFormat="1" applyFont="1" applyFill="1" applyBorder="1"/>
    <xf numFmtId="1" fontId="4" fillId="30" borderId="0" xfId="0" applyNumberFormat="1" applyFont="1" applyFill="1"/>
    <xf numFmtId="1" fontId="5" fillId="30" borderId="12" xfId="0" applyNumberFormat="1" applyFont="1" applyFill="1" applyBorder="1"/>
    <xf numFmtId="1" fontId="5" fillId="30" borderId="0" xfId="0" applyNumberFormat="1" applyFont="1" applyFill="1"/>
    <xf numFmtId="1" fontId="4" fillId="31" borderId="0" xfId="0" applyNumberFormat="1" applyFont="1" applyFill="1"/>
    <xf numFmtId="1" fontId="5" fillId="31" borderId="12" xfId="0" applyNumberFormat="1" applyFont="1" applyFill="1" applyBorder="1"/>
    <xf numFmtId="1" fontId="5" fillId="31" borderId="0" xfId="0" applyNumberFormat="1" applyFont="1" applyFill="1"/>
    <xf numFmtId="1" fontId="5" fillId="31" borderId="11" xfId="0" applyNumberFormat="1" applyFont="1" applyFill="1" applyBorder="1"/>
    <xf numFmtId="1" fontId="5" fillId="30" borderId="11" xfId="0" applyNumberFormat="1" applyFont="1" applyFill="1" applyBorder="1"/>
    <xf numFmtId="0" fontId="3" fillId="27" borderId="0" xfId="0" applyFont="1" applyFill="1" applyAlignment="1">
      <alignment horizontal="center" vertical="center" wrapText="1"/>
    </xf>
    <xf numFmtId="0" fontId="10" fillId="28" borderId="12" xfId="0" applyFont="1" applyFill="1" applyBorder="1"/>
    <xf numFmtId="1" fontId="10" fillId="28" borderId="12" xfId="0" applyNumberFormat="1" applyFont="1" applyFill="1" applyBorder="1"/>
    <xf numFmtId="1" fontId="10" fillId="30" borderId="12" xfId="0" applyNumberFormat="1" applyFont="1" applyFill="1" applyBorder="1"/>
    <xf numFmtId="1" fontId="10" fillId="28" borderId="13" xfId="0" applyNumberFormat="1" applyFont="1" applyFill="1" applyBorder="1"/>
    <xf numFmtId="0" fontId="10" fillId="28" borderId="0" xfId="0" applyFont="1" applyFill="1"/>
    <xf numFmtId="1" fontId="10" fillId="28" borderId="0" xfId="0" applyNumberFormat="1" applyFont="1" applyFill="1"/>
    <xf numFmtId="1" fontId="10" fillId="30" borderId="0" xfId="0" applyNumberFormat="1" applyFont="1" applyFill="1"/>
    <xf numFmtId="1" fontId="10" fillId="28" borderId="11" xfId="0" applyNumberFormat="1" applyFont="1" applyFill="1" applyBorder="1"/>
    <xf numFmtId="0" fontId="10" fillId="28" borderId="14" xfId="0" applyFont="1" applyFill="1" applyBorder="1"/>
    <xf numFmtId="1" fontId="10" fillId="28" borderId="14" xfId="0" applyNumberFormat="1" applyFont="1" applyFill="1" applyBorder="1"/>
    <xf numFmtId="1" fontId="10" fillId="30" borderId="14" xfId="0" applyNumberFormat="1" applyFont="1" applyFill="1" applyBorder="1"/>
    <xf numFmtId="1" fontId="10" fillId="28" borderId="15" xfId="0" applyNumberFormat="1" applyFont="1" applyFill="1" applyBorder="1"/>
    <xf numFmtId="0" fontId="10" fillId="28" borderId="16" xfId="0" applyFont="1" applyFill="1" applyBorder="1"/>
    <xf numFmtId="1" fontId="10" fillId="28" borderId="16" xfId="0" applyNumberFormat="1" applyFont="1" applyFill="1" applyBorder="1"/>
    <xf numFmtId="1" fontId="10" fillId="30" borderId="16" xfId="0" applyNumberFormat="1" applyFont="1" applyFill="1" applyBorder="1"/>
    <xf numFmtId="1" fontId="10" fillId="28" borderId="17" xfId="0" applyNumberFormat="1" applyFont="1" applyFill="1" applyBorder="1"/>
    <xf numFmtId="0" fontId="8" fillId="28" borderId="18" xfId="0" applyFont="1" applyFill="1" applyBorder="1" applyAlignment="1">
      <alignment horizontal="center" vertical="center"/>
    </xf>
    <xf numFmtId="0" fontId="5" fillId="28" borderId="19" xfId="0" applyFont="1" applyFill="1" applyBorder="1"/>
    <xf numFmtId="1" fontId="5" fillId="28" borderId="19" xfId="0" applyNumberFormat="1" applyFont="1" applyFill="1" applyBorder="1"/>
    <xf numFmtId="1" fontId="5" fillId="30" borderId="19" xfId="0" applyNumberFormat="1" applyFont="1" applyFill="1" applyBorder="1"/>
    <xf numFmtId="1" fontId="5" fillId="28" borderId="20" xfId="0" applyNumberFormat="1" applyFont="1" applyFill="1" applyBorder="1"/>
    <xf numFmtId="0" fontId="10" fillId="29" borderId="16" xfId="0" applyFont="1" applyFill="1" applyBorder="1"/>
    <xf numFmtId="1" fontId="10" fillId="29" borderId="16" xfId="0" applyNumberFormat="1" applyFont="1" applyFill="1" applyBorder="1"/>
    <xf numFmtId="1" fontId="10" fillId="29" borderId="17" xfId="0" applyNumberFormat="1" applyFont="1" applyFill="1" applyBorder="1"/>
    <xf numFmtId="0" fontId="10" fillId="29" borderId="0" xfId="0" applyFont="1" applyFill="1"/>
    <xf numFmtId="1" fontId="10" fillId="29" borderId="0" xfId="0" applyNumberFormat="1" applyFont="1" applyFill="1"/>
    <xf numFmtId="1" fontId="10" fillId="29" borderId="11" xfId="0" applyNumberFormat="1" applyFont="1" applyFill="1" applyBorder="1"/>
    <xf numFmtId="0" fontId="10" fillId="29" borderId="14" xfId="0" applyFont="1" applyFill="1" applyBorder="1"/>
    <xf numFmtId="1" fontId="10" fillId="29" borderId="14" xfId="0" applyNumberFormat="1" applyFont="1" applyFill="1" applyBorder="1"/>
    <xf numFmtId="1" fontId="10" fillId="29" borderId="15" xfId="0" applyNumberFormat="1" applyFont="1" applyFill="1" applyBorder="1"/>
    <xf numFmtId="0" fontId="10" fillId="29" borderId="12" xfId="0" applyFont="1" applyFill="1" applyBorder="1"/>
    <xf numFmtId="1" fontId="10" fillId="29" borderId="12" xfId="0" applyNumberFormat="1" applyFont="1" applyFill="1" applyBorder="1"/>
    <xf numFmtId="1" fontId="10" fillId="29" borderId="13" xfId="0" applyNumberFormat="1" applyFont="1" applyFill="1" applyBorder="1"/>
    <xf numFmtId="0" fontId="8" fillId="29" borderId="18" xfId="0" applyFont="1" applyFill="1" applyBorder="1" applyAlignment="1">
      <alignment horizontal="center" vertical="center"/>
    </xf>
    <xf numFmtId="0" fontId="5" fillId="29" borderId="19" xfId="0" applyFont="1" applyFill="1" applyBorder="1"/>
    <xf numFmtId="1" fontId="5" fillId="29" borderId="19" xfId="0" applyNumberFormat="1" applyFont="1" applyFill="1" applyBorder="1"/>
    <xf numFmtId="1" fontId="5" fillId="29" borderId="20" xfId="0" applyNumberFormat="1" applyFont="1" applyFill="1" applyBorder="1"/>
    <xf numFmtId="1" fontId="10" fillId="31" borderId="16" xfId="0" applyNumberFormat="1" applyFont="1" applyFill="1" applyBorder="1"/>
    <xf numFmtId="1" fontId="10" fillId="31" borderId="0" xfId="0" applyNumberFormat="1" applyFont="1" applyFill="1"/>
    <xf numFmtId="1" fontId="10" fillId="31" borderId="14" xfId="0" applyNumberFormat="1" applyFont="1" applyFill="1" applyBorder="1"/>
    <xf numFmtId="1" fontId="10" fillId="31" borderId="12" xfId="0" applyNumberFormat="1" applyFont="1" applyFill="1" applyBorder="1"/>
    <xf numFmtId="1" fontId="5" fillId="31" borderId="19" xfId="0" applyNumberFormat="1" applyFont="1" applyFill="1" applyBorder="1"/>
    <xf numFmtId="0" fontId="27" fillId="32" borderId="0" xfId="0" applyFont="1" applyFill="1" applyAlignment="1">
      <alignment vertical="center"/>
    </xf>
    <xf numFmtId="0" fontId="27" fillId="32" borderId="0" xfId="0" applyFont="1" applyFill="1"/>
    <xf numFmtId="0" fontId="27" fillId="28" borderId="0" xfId="0" applyFont="1" applyFill="1" applyAlignment="1">
      <alignment vertical="center"/>
    </xf>
    <xf numFmtId="0" fontId="2" fillId="32" borderId="0" xfId="0" applyFont="1" applyFill="1"/>
    <xf numFmtId="0" fontId="0" fillId="32" borderId="0" xfId="0" applyFill="1"/>
    <xf numFmtId="0" fontId="2" fillId="32" borderId="0" xfId="0" applyFont="1" applyFill="1" applyAlignment="1">
      <alignment horizontal="left" vertical="center"/>
    </xf>
    <xf numFmtId="9" fontId="27" fillId="32" borderId="0" xfId="0" applyNumberFormat="1" applyFont="1" applyFill="1"/>
    <xf numFmtId="0" fontId="12" fillId="34" borderId="0" xfId="56" applyFill="1" applyAlignment="1">
      <alignment vertical="center"/>
    </xf>
    <xf numFmtId="0" fontId="12" fillId="34" borderId="0" xfId="56" applyFill="1" applyAlignment="1">
      <alignment vertical="center" wrapText="1"/>
    </xf>
    <xf numFmtId="0" fontId="34" fillId="34" borderId="0" xfId="56" applyFont="1" applyFill="1" applyAlignment="1">
      <alignment horizontal="left" vertical="center"/>
    </xf>
    <xf numFmtId="0" fontId="27" fillId="34" borderId="0" xfId="56" applyFont="1" applyFill="1"/>
    <xf numFmtId="0" fontId="12" fillId="34" borderId="0" xfId="56" applyFill="1"/>
    <xf numFmtId="0" fontId="34" fillId="34" borderId="0" xfId="56" applyFont="1" applyFill="1" applyAlignment="1">
      <alignment horizontal="left"/>
    </xf>
    <xf numFmtId="1" fontId="12" fillId="34" borderId="0" xfId="56" applyNumberFormat="1" applyFill="1"/>
    <xf numFmtId="1" fontId="34" fillId="34" borderId="0" xfId="56" applyNumberFormat="1" applyFont="1" applyFill="1" applyAlignment="1">
      <alignment horizontal="left"/>
    </xf>
    <xf numFmtId="1" fontId="27" fillId="34" borderId="0" xfId="56" applyNumberFormat="1" applyFont="1" applyFill="1"/>
    <xf numFmtId="0" fontId="34" fillId="34" borderId="0" xfId="56" applyFont="1" applyFill="1"/>
    <xf numFmtId="1" fontId="34" fillId="34" borderId="0" xfId="56" applyNumberFormat="1" applyFont="1" applyFill="1"/>
    <xf numFmtId="165" fontId="12" fillId="34" borderId="0" xfId="56" applyNumberFormat="1" applyFill="1"/>
    <xf numFmtId="0" fontId="27" fillId="35" borderId="28" xfId="56" applyFont="1" applyFill="1" applyBorder="1"/>
    <xf numFmtId="0" fontId="27" fillId="35" borderId="29" xfId="56" applyFont="1" applyFill="1" applyBorder="1"/>
    <xf numFmtId="1" fontId="27" fillId="35" borderId="0" xfId="56" applyNumberFormat="1" applyFont="1" applyFill="1"/>
    <xf numFmtId="0" fontId="27" fillId="34" borderId="0" xfId="56" applyFont="1" applyFill="1" applyAlignment="1">
      <alignment vertical="center" wrapText="1"/>
    </xf>
    <xf numFmtId="1" fontId="12" fillId="36" borderId="33" xfId="56" applyNumberFormat="1" applyFill="1" applyBorder="1"/>
    <xf numFmtId="1" fontId="12" fillId="36" borderId="34" xfId="56" applyNumberFormat="1" applyFill="1" applyBorder="1"/>
    <xf numFmtId="1" fontId="12" fillId="36" borderId="0" xfId="56" applyNumberFormat="1" applyFill="1"/>
    <xf numFmtId="1" fontId="12" fillId="36" borderId="36" xfId="56" applyNumberFormat="1" applyFill="1" applyBorder="1"/>
    <xf numFmtId="0" fontId="35" fillId="36" borderId="29" xfId="56" applyFont="1" applyFill="1" applyBorder="1"/>
    <xf numFmtId="0" fontId="12" fillId="36" borderId="29" xfId="56" applyFill="1" applyBorder="1"/>
    <xf numFmtId="1" fontId="12" fillId="36" borderId="31" xfId="56" applyNumberFormat="1" applyFill="1" applyBorder="1"/>
    <xf numFmtId="0" fontId="12" fillId="36" borderId="28" xfId="56" applyFill="1" applyBorder="1" applyAlignment="1">
      <alignment vertical="center" wrapText="1"/>
    </xf>
    <xf numFmtId="0" fontId="12" fillId="36" borderId="33" xfId="56" applyFill="1" applyBorder="1" applyAlignment="1">
      <alignment vertical="center"/>
    </xf>
    <xf numFmtId="0" fontId="12" fillId="36" borderId="34" xfId="56" applyFill="1" applyBorder="1" applyAlignment="1">
      <alignment vertical="center"/>
    </xf>
    <xf numFmtId="0" fontId="12" fillId="36" borderId="30" xfId="56" applyFill="1" applyBorder="1" applyAlignment="1">
      <alignment vertical="center"/>
    </xf>
    <xf numFmtId="0" fontId="12" fillId="36" borderId="31" xfId="56" applyFill="1" applyBorder="1" applyAlignment="1">
      <alignment vertical="center"/>
    </xf>
    <xf numFmtId="0" fontId="12" fillId="36" borderId="35" xfId="56" applyFill="1" applyBorder="1" applyAlignment="1">
      <alignment vertical="center"/>
    </xf>
    <xf numFmtId="0" fontId="12" fillId="36" borderId="28" xfId="56" applyFill="1" applyBorder="1"/>
    <xf numFmtId="1" fontId="35" fillId="36" borderId="0" xfId="56" applyNumberFormat="1" applyFont="1" applyFill="1"/>
    <xf numFmtId="0" fontId="12" fillId="36" borderId="0" xfId="56" applyFill="1"/>
    <xf numFmtId="0" fontId="12" fillId="36" borderId="36" xfId="56" applyFill="1" applyBorder="1"/>
    <xf numFmtId="0" fontId="34" fillId="36" borderId="30" xfId="56" applyFont="1" applyFill="1" applyBorder="1"/>
    <xf numFmtId="1" fontId="34" fillId="36" borderId="31" xfId="56" applyNumberFormat="1" applyFont="1" applyFill="1" applyBorder="1"/>
    <xf numFmtId="1" fontId="34" fillId="36" borderId="35" xfId="56" applyNumberFormat="1" applyFont="1" applyFill="1" applyBorder="1"/>
    <xf numFmtId="0" fontId="12" fillId="36" borderId="31" xfId="56" applyFill="1" applyBorder="1" applyAlignment="1">
      <alignment horizontal="center" vertical="center"/>
    </xf>
    <xf numFmtId="0" fontId="27" fillId="34" borderId="0" xfId="0" applyFont="1" applyFill="1"/>
    <xf numFmtId="1" fontId="27" fillId="34" borderId="0" xfId="0" applyNumberFormat="1" applyFont="1" applyFill="1"/>
    <xf numFmtId="0" fontId="12" fillId="36" borderId="34" xfId="56" applyFill="1" applyBorder="1"/>
    <xf numFmtId="0" fontId="12" fillId="36" borderId="30" xfId="56" applyFill="1" applyBorder="1"/>
    <xf numFmtId="0" fontId="12" fillId="36" borderId="35" xfId="56" applyFill="1" applyBorder="1"/>
    <xf numFmtId="0" fontId="12" fillId="37" borderId="32" xfId="56" applyFill="1" applyBorder="1" applyAlignment="1">
      <alignment vertical="center"/>
    </xf>
    <xf numFmtId="0" fontId="12" fillId="36" borderId="33" xfId="56" applyFill="1" applyBorder="1"/>
    <xf numFmtId="0" fontId="12" fillId="36" borderId="31" xfId="56" applyFill="1" applyBorder="1"/>
    <xf numFmtId="0" fontId="27" fillId="33" borderId="33" xfId="0" applyFont="1" applyFill="1" applyBorder="1"/>
    <xf numFmtId="0" fontId="27" fillId="33" borderId="34" xfId="0" applyFont="1" applyFill="1" applyBorder="1"/>
    <xf numFmtId="0" fontId="27" fillId="33" borderId="29" xfId="56" applyFont="1" applyFill="1" applyBorder="1"/>
    <xf numFmtId="1" fontId="27" fillId="33" borderId="0" xfId="0" applyNumberFormat="1" applyFont="1" applyFill="1"/>
    <xf numFmtId="0" fontId="27" fillId="33" borderId="0" xfId="0" applyFont="1" applyFill="1"/>
    <xf numFmtId="0" fontId="27" fillId="33" borderId="36" xfId="0" applyFont="1" applyFill="1" applyBorder="1"/>
    <xf numFmtId="0" fontId="27" fillId="33" borderId="29" xfId="0" applyFont="1" applyFill="1" applyBorder="1"/>
    <xf numFmtId="0" fontId="27" fillId="33" borderId="30" xfId="0" applyFont="1" applyFill="1" applyBorder="1"/>
    <xf numFmtId="0" fontId="27" fillId="33" borderId="31" xfId="0" applyFont="1" applyFill="1" applyBorder="1"/>
    <xf numFmtId="0" fontId="27" fillId="33" borderId="35" xfId="0" applyFont="1" applyFill="1" applyBorder="1"/>
    <xf numFmtId="0" fontId="27" fillId="28" borderId="37" xfId="0" applyFont="1" applyFill="1" applyBorder="1" applyAlignment="1">
      <alignment vertical="center"/>
    </xf>
    <xf numFmtId="0" fontId="27" fillId="28" borderId="38" xfId="0" applyFont="1" applyFill="1" applyBorder="1" applyAlignment="1">
      <alignment vertical="center"/>
    </xf>
    <xf numFmtId="0" fontId="27" fillId="36" borderId="29" xfId="0" applyFont="1" applyFill="1" applyBorder="1"/>
    <xf numFmtId="0" fontId="27" fillId="36" borderId="30" xfId="0" applyFont="1" applyFill="1" applyBorder="1"/>
    <xf numFmtId="1" fontId="27" fillId="33" borderId="36" xfId="0" applyNumberFormat="1" applyFont="1" applyFill="1" applyBorder="1"/>
    <xf numFmtId="0" fontId="36" fillId="33" borderId="33" xfId="0" applyFont="1" applyFill="1" applyBorder="1" applyAlignment="1">
      <alignment horizontal="right"/>
    </xf>
    <xf numFmtId="0" fontId="36" fillId="33" borderId="34" xfId="0" applyFont="1" applyFill="1" applyBorder="1" applyAlignment="1">
      <alignment horizontal="right"/>
    </xf>
    <xf numFmtId="164" fontId="27" fillId="33" borderId="36" xfId="0" applyNumberFormat="1" applyFont="1" applyFill="1" applyBorder="1"/>
    <xf numFmtId="164" fontId="27" fillId="33" borderId="35" xfId="0" applyNumberFormat="1" applyFont="1" applyFill="1" applyBorder="1"/>
    <xf numFmtId="0" fontId="27" fillId="34" borderId="0" xfId="0" applyFont="1" applyFill="1" applyAlignment="1">
      <alignment vertical="center"/>
    </xf>
    <xf numFmtId="0" fontId="37" fillId="34" borderId="0" xfId="56" applyFont="1" applyFill="1"/>
    <xf numFmtId="0" fontId="27" fillId="33" borderId="28" xfId="0" applyFont="1" applyFill="1" applyBorder="1" applyAlignment="1">
      <alignment wrapText="1"/>
    </xf>
    <xf numFmtId="0" fontId="27" fillId="37" borderId="39" xfId="0" applyFont="1" applyFill="1" applyBorder="1"/>
    <xf numFmtId="0" fontId="27" fillId="37" borderId="40" xfId="0" applyFont="1" applyFill="1" applyBorder="1"/>
    <xf numFmtId="0" fontId="27" fillId="37" borderId="41" xfId="0" applyFont="1" applyFill="1" applyBorder="1"/>
    <xf numFmtId="2" fontId="27" fillId="33" borderId="0" xfId="0" applyNumberFormat="1" applyFont="1" applyFill="1"/>
    <xf numFmtId="2" fontId="27" fillId="33" borderId="31" xfId="0" applyNumberFormat="1" applyFont="1" applyFill="1" applyBorder="1"/>
    <xf numFmtId="0" fontId="34" fillId="36" borderId="33" xfId="56" applyFont="1" applyFill="1" applyBorder="1" applyAlignment="1">
      <alignment vertical="center" wrapText="1"/>
    </xf>
    <xf numFmtId="1" fontId="34" fillId="36" borderId="33" xfId="56" applyNumberFormat="1" applyFont="1" applyFill="1" applyBorder="1"/>
    <xf numFmtId="1" fontId="34" fillId="36" borderId="0" xfId="56" applyNumberFormat="1" applyFont="1" applyFill="1"/>
    <xf numFmtId="0" fontId="34" fillId="36" borderId="34" xfId="56" applyFont="1" applyFill="1" applyBorder="1" applyAlignment="1">
      <alignment vertical="center" wrapText="1"/>
    </xf>
    <xf numFmtId="0" fontId="2" fillId="34" borderId="0" xfId="0" applyFont="1" applyFill="1" applyAlignment="1">
      <alignment vertical="top" textRotation="180"/>
    </xf>
    <xf numFmtId="0" fontId="12" fillId="36" borderId="0" xfId="56" applyFill="1" applyAlignment="1">
      <alignment vertical="center" wrapText="1"/>
    </xf>
    <xf numFmtId="0" fontId="34" fillId="36" borderId="0" xfId="56" applyFont="1" applyFill="1" applyAlignment="1">
      <alignment vertical="center" wrapText="1"/>
    </xf>
    <xf numFmtId="0" fontId="12" fillId="36" borderId="36" xfId="56" applyFill="1" applyBorder="1" applyAlignment="1">
      <alignment vertical="center" wrapText="1"/>
    </xf>
    <xf numFmtId="0" fontId="38" fillId="33" borderId="0" xfId="0" applyFont="1" applyFill="1"/>
    <xf numFmtId="0" fontId="39" fillId="33" borderId="0" xfId="0" applyFont="1" applyFill="1"/>
    <xf numFmtId="0" fontId="40" fillId="36" borderId="0" xfId="0" applyFont="1" applyFill="1"/>
    <xf numFmtId="0" fontId="36" fillId="32" borderId="0" xfId="0" applyFont="1" applyFill="1"/>
    <xf numFmtId="0" fontId="27" fillId="32" borderId="0" xfId="0" applyFont="1" applyFill="1" applyAlignment="1">
      <alignment horizontal="left"/>
    </xf>
    <xf numFmtId="0" fontId="41" fillId="33" borderId="31" xfId="0" applyFont="1" applyFill="1" applyBorder="1"/>
    <xf numFmtId="164" fontId="12" fillId="36" borderId="36" xfId="56" applyNumberFormat="1" applyFill="1" applyBorder="1"/>
    <xf numFmtId="164" fontId="12" fillId="36" borderId="35" xfId="56" applyNumberFormat="1" applyFill="1" applyBorder="1" applyAlignment="1">
      <alignment horizontal="right"/>
    </xf>
    <xf numFmtId="0" fontId="42" fillId="33" borderId="29" xfId="56" applyFont="1" applyFill="1" applyBorder="1"/>
    <xf numFmtId="0" fontId="42" fillId="35" borderId="0" xfId="56" applyFont="1" applyFill="1"/>
    <xf numFmtId="0" fontId="42" fillId="32" borderId="0" xfId="0" applyFont="1" applyFill="1"/>
    <xf numFmtId="0" fontId="42" fillId="33" borderId="30" xfId="56" applyFont="1" applyFill="1" applyBorder="1"/>
    <xf numFmtId="1" fontId="42" fillId="35" borderId="31" xfId="56" applyNumberFormat="1" applyFont="1" applyFill="1" applyBorder="1"/>
    <xf numFmtId="0" fontId="27" fillId="33" borderId="30" xfId="56" applyFont="1" applyFill="1" applyBorder="1"/>
    <xf numFmtId="0" fontId="12" fillId="33" borderId="31" xfId="56" quotePrefix="1" applyFill="1" applyBorder="1"/>
    <xf numFmtId="0" fontId="43" fillId="34" borderId="0" xfId="56" applyFont="1" applyFill="1"/>
    <xf numFmtId="0" fontId="44" fillId="32" borderId="0" xfId="0" applyFont="1" applyFill="1"/>
    <xf numFmtId="0" fontId="27" fillId="33" borderId="28" xfId="56" applyFont="1" applyFill="1" applyBorder="1" applyAlignment="1">
      <alignment vertical="center"/>
    </xf>
    <xf numFmtId="0" fontId="23" fillId="33" borderId="34" xfId="56" quotePrefix="1" applyFont="1" applyFill="1" applyBorder="1" applyAlignment="1">
      <alignment horizontal="right" vertical="center"/>
    </xf>
    <xf numFmtId="0" fontId="27" fillId="32" borderId="0" xfId="0" applyFont="1" applyFill="1" applyAlignment="1">
      <alignment horizontal="right" vertical="center"/>
    </xf>
    <xf numFmtId="0" fontId="27" fillId="35" borderId="0" xfId="0" applyFont="1" applyFill="1"/>
    <xf numFmtId="0" fontId="27" fillId="35" borderId="29" xfId="0" applyFont="1" applyFill="1" applyBorder="1"/>
    <xf numFmtId="0" fontId="27" fillId="35" borderId="30" xfId="0" applyFont="1" applyFill="1" applyBorder="1"/>
    <xf numFmtId="1" fontId="27" fillId="35" borderId="31" xfId="56" applyNumberFormat="1" applyFont="1" applyFill="1" applyBorder="1"/>
    <xf numFmtId="0" fontId="36" fillId="33" borderId="33" xfId="0" applyFont="1" applyFill="1" applyBorder="1" applyAlignment="1">
      <alignment vertical="center"/>
    </xf>
    <xf numFmtId="0" fontId="36" fillId="33" borderId="34" xfId="0" applyFont="1" applyFill="1" applyBorder="1" applyAlignment="1">
      <alignment vertical="center"/>
    </xf>
    <xf numFmtId="0" fontId="43" fillId="34" borderId="0" xfId="56" applyFont="1" applyFill="1" applyAlignment="1">
      <alignment horizontal="left"/>
    </xf>
    <xf numFmtId="1" fontId="43" fillId="34" borderId="0" xfId="56" applyNumberFormat="1" applyFont="1" applyFill="1" applyAlignment="1">
      <alignment horizontal="right"/>
    </xf>
    <xf numFmtId="1" fontId="43" fillId="34" borderId="0" xfId="56" applyNumberFormat="1" applyFont="1" applyFill="1" applyAlignment="1">
      <alignment horizontal="left"/>
    </xf>
    <xf numFmtId="1" fontId="43" fillId="34" borderId="0" xfId="56" quotePrefix="1" applyNumberFormat="1" applyFont="1" applyFill="1" applyAlignment="1">
      <alignment horizontal="right"/>
    </xf>
    <xf numFmtId="9" fontId="43" fillId="34" borderId="0" xfId="66" applyFont="1" applyFill="1" applyAlignment="1">
      <alignment horizontal="right"/>
    </xf>
    <xf numFmtId="0" fontId="38" fillId="36" borderId="0" xfId="0" applyFont="1" applyFill="1" applyAlignment="1">
      <alignment vertical="center"/>
    </xf>
    <xf numFmtId="0" fontId="38" fillId="36" borderId="0" xfId="0" applyFont="1" applyFill="1"/>
    <xf numFmtId="0" fontId="38" fillId="35" borderId="0" xfId="0" applyFont="1" applyFill="1"/>
    <xf numFmtId="164" fontId="39" fillId="35" borderId="0" xfId="0" applyNumberFormat="1" applyFont="1" applyFill="1"/>
    <xf numFmtId="0" fontId="39" fillId="35" borderId="0" xfId="0" applyFont="1" applyFill="1"/>
    <xf numFmtId="2" fontId="27" fillId="38" borderId="0" xfId="0" applyNumberFormat="1" applyFont="1" applyFill="1"/>
    <xf numFmtId="0" fontId="40" fillId="34" borderId="0" xfId="56" applyFont="1" applyFill="1"/>
    <xf numFmtId="0" fontId="12" fillId="34" borderId="42" xfId="56" applyFill="1" applyBorder="1"/>
    <xf numFmtId="1" fontId="12" fillId="34" borderId="42" xfId="56" applyNumberFormat="1" applyFill="1" applyBorder="1"/>
    <xf numFmtId="1" fontId="34" fillId="34" borderId="42" xfId="56" applyNumberFormat="1" applyFont="1" applyFill="1" applyBorder="1" applyAlignment="1">
      <alignment horizontal="right"/>
    </xf>
    <xf numFmtId="0" fontId="0" fillId="34" borderId="0" xfId="0" applyFill="1"/>
    <xf numFmtId="0" fontId="27" fillId="36" borderId="0" xfId="0" applyFont="1" applyFill="1"/>
    <xf numFmtId="0" fontId="27" fillId="36" borderId="31" xfId="0" applyFont="1" applyFill="1" applyBorder="1"/>
    <xf numFmtId="0" fontId="27" fillId="36" borderId="35" xfId="0" applyFont="1" applyFill="1" applyBorder="1"/>
    <xf numFmtId="0" fontId="27" fillId="39" borderId="28" xfId="0" applyFont="1" applyFill="1" applyBorder="1" applyAlignment="1">
      <alignment vertical="center"/>
    </xf>
    <xf numFmtId="0" fontId="27" fillId="39" borderId="33" xfId="0" applyFont="1" applyFill="1" applyBorder="1" applyAlignment="1">
      <alignment vertical="center"/>
    </xf>
    <xf numFmtId="0" fontId="27" fillId="39" borderId="34" xfId="0" applyFont="1" applyFill="1" applyBorder="1" applyAlignment="1">
      <alignment vertical="center"/>
    </xf>
    <xf numFmtId="0" fontId="40" fillId="33" borderId="0" xfId="0" applyFont="1" applyFill="1"/>
    <xf numFmtId="0" fontId="47" fillId="36" borderId="29" xfId="67" applyFill="1" applyBorder="1"/>
    <xf numFmtId="0" fontId="1" fillId="34" borderId="0" xfId="0" applyFont="1" applyFill="1"/>
    <xf numFmtId="164" fontId="27" fillId="36" borderId="0" xfId="0" applyNumberFormat="1" applyFont="1" applyFill="1"/>
    <xf numFmtId="164" fontId="27" fillId="36" borderId="36" xfId="0" applyNumberFormat="1" applyFont="1" applyFill="1" applyBorder="1"/>
    <xf numFmtId="0" fontId="27" fillId="39" borderId="29" xfId="0" applyFont="1" applyFill="1" applyBorder="1"/>
    <xf numFmtId="0" fontId="27" fillId="39" borderId="36" xfId="0" applyFont="1" applyFill="1" applyBorder="1" applyAlignment="1">
      <alignment vertical="center"/>
    </xf>
    <xf numFmtId="0" fontId="27" fillId="39" borderId="0" xfId="0" applyFont="1" applyFill="1"/>
    <xf numFmtId="0" fontId="47" fillId="36" borderId="0" xfId="67" applyFill="1"/>
    <xf numFmtId="164" fontId="27" fillId="39" borderId="36" xfId="0" applyNumberFormat="1" applyFont="1" applyFill="1" applyBorder="1"/>
    <xf numFmtId="0" fontId="46" fillId="33" borderId="36" xfId="0" applyFont="1" applyFill="1" applyBorder="1"/>
    <xf numFmtId="0" fontId="27" fillId="35" borderId="30" xfId="56" applyFont="1" applyFill="1" applyBorder="1"/>
    <xf numFmtId="1" fontId="27" fillId="35" borderId="0" xfId="0" applyNumberFormat="1" applyFont="1" applyFill="1"/>
    <xf numFmtId="1" fontId="27" fillId="28" borderId="32" xfId="0" applyNumberFormat="1" applyFont="1" applyFill="1" applyBorder="1" applyAlignment="1">
      <alignment horizontal="left" vertical="center"/>
    </xf>
    <xf numFmtId="0" fontId="36" fillId="33" borderId="28" xfId="0" applyFont="1" applyFill="1" applyBorder="1" applyAlignment="1">
      <alignment horizontal="left" vertical="center"/>
    </xf>
    <xf numFmtId="0" fontId="27" fillId="33" borderId="29" xfId="56" applyFont="1" applyFill="1" applyBorder="1" applyAlignment="1">
      <alignment horizontal="left"/>
    </xf>
    <xf numFmtId="0" fontId="38" fillId="33" borderId="29" xfId="0" applyFont="1" applyFill="1" applyBorder="1" applyAlignment="1">
      <alignment horizontal="left"/>
    </xf>
    <xf numFmtId="0" fontId="46" fillId="33" borderId="29" xfId="56" applyFont="1" applyFill="1" applyBorder="1" applyAlignment="1">
      <alignment horizontal="left"/>
    </xf>
    <xf numFmtId="0" fontId="27" fillId="33" borderId="30" xfId="0" applyFont="1" applyFill="1" applyBorder="1" applyAlignment="1">
      <alignment horizontal="left"/>
    </xf>
    <xf numFmtId="9" fontId="27" fillId="33" borderId="0" xfId="66" applyFont="1" applyFill="1"/>
    <xf numFmtId="0" fontId="0" fillId="34" borderId="0" xfId="0" applyFill="1" applyAlignment="1">
      <alignment horizontal="left"/>
    </xf>
    <xf numFmtId="164" fontId="34" fillId="36" borderId="33" xfId="56" applyNumberFormat="1" applyFont="1" applyFill="1" applyBorder="1"/>
    <xf numFmtId="1" fontId="34" fillId="36" borderId="34" xfId="56" applyNumberFormat="1" applyFont="1" applyFill="1" applyBorder="1"/>
    <xf numFmtId="0" fontId="34" fillId="36" borderId="29" xfId="56" applyFont="1" applyFill="1" applyBorder="1"/>
    <xf numFmtId="1" fontId="34" fillId="36" borderId="36" xfId="56" applyNumberFormat="1" applyFont="1" applyFill="1" applyBorder="1"/>
    <xf numFmtId="0" fontId="48" fillId="36" borderId="28" xfId="56" applyFont="1" applyFill="1" applyBorder="1"/>
    <xf numFmtId="0" fontId="12" fillId="34" borderId="0" xfId="56" quotePrefix="1" applyFill="1"/>
    <xf numFmtId="0" fontId="12" fillId="36" borderId="33" xfId="56" applyFill="1" applyBorder="1" applyAlignment="1">
      <alignment vertical="center" wrapText="1"/>
    </xf>
    <xf numFmtId="0" fontId="34" fillId="36" borderId="31" xfId="56" applyFont="1" applyFill="1" applyBorder="1"/>
    <xf numFmtId="0" fontId="48" fillId="36" borderId="33" xfId="56" applyFont="1" applyFill="1" applyBorder="1"/>
    <xf numFmtId="1" fontId="27" fillId="35" borderId="31" xfId="0" applyNumberFormat="1" applyFont="1" applyFill="1" applyBorder="1"/>
    <xf numFmtId="0" fontId="23" fillId="34" borderId="43" xfId="56" applyFont="1" applyFill="1" applyBorder="1"/>
    <xf numFmtId="0" fontId="12" fillId="34" borderId="44" xfId="56" applyFill="1" applyBorder="1"/>
    <xf numFmtId="0" fontId="12" fillId="34" borderId="45" xfId="56" applyFill="1" applyBorder="1"/>
    <xf numFmtId="0" fontId="12" fillId="34" borderId="46" xfId="56" applyFill="1" applyBorder="1"/>
    <xf numFmtId="0" fontId="12" fillId="34" borderId="0" xfId="56" applyFill="1" applyBorder="1"/>
    <xf numFmtId="0" fontId="12" fillId="34" borderId="47" xfId="56" applyFill="1" applyBorder="1"/>
    <xf numFmtId="0" fontId="12" fillId="34" borderId="46" xfId="56" applyFill="1" applyBorder="1" applyAlignment="1">
      <alignment vertical="top"/>
    </xf>
    <xf numFmtId="0" fontId="12" fillId="34" borderId="48" xfId="56" applyFill="1" applyBorder="1"/>
    <xf numFmtId="0" fontId="12" fillId="34" borderId="49" xfId="56" applyFill="1" applyBorder="1"/>
    <xf numFmtId="0" fontId="12" fillId="34" borderId="50" xfId="56" applyFill="1" applyBorder="1"/>
    <xf numFmtId="2" fontId="27" fillId="33" borderId="36" xfId="56" quotePrefix="1" applyNumberFormat="1" applyFont="1" applyFill="1" applyBorder="1" applyAlignment="1">
      <alignment horizontal="right"/>
    </xf>
    <xf numFmtId="2" fontId="27" fillId="33" borderId="35" xfId="56" quotePrefix="1" applyNumberFormat="1" applyFont="1" applyFill="1" applyBorder="1" applyAlignment="1">
      <alignment horizontal="right"/>
    </xf>
    <xf numFmtId="0" fontId="27" fillId="37" borderId="51" xfId="68" applyFont="1" applyFill="1" applyBorder="1"/>
    <xf numFmtId="0" fontId="0" fillId="32" borderId="0" xfId="0" quotePrefix="1" applyFill="1"/>
    <xf numFmtId="0" fontId="27" fillId="33" borderId="0" xfId="0" applyFont="1" applyFill="1" applyBorder="1"/>
    <xf numFmtId="0" fontId="27" fillId="28" borderId="0" xfId="0" applyFont="1" applyFill="1" applyBorder="1" applyAlignment="1">
      <alignment vertical="center"/>
    </xf>
    <xf numFmtId="2" fontId="27" fillId="32" borderId="0" xfId="0" applyNumberFormat="1" applyFont="1" applyFill="1"/>
    <xf numFmtId="0" fontId="23" fillId="33" borderId="33" xfId="56" quotePrefix="1" applyFont="1" applyFill="1" applyBorder="1" applyAlignment="1">
      <alignment horizontal="right" vertical="center"/>
    </xf>
    <xf numFmtId="0" fontId="27" fillId="33" borderId="30" xfId="56" applyFont="1" applyFill="1" applyBorder="1" applyAlignment="1">
      <alignment vertical="center"/>
    </xf>
    <xf numFmtId="0" fontId="23" fillId="33" borderId="31" xfId="56" quotePrefix="1" applyFont="1" applyFill="1" applyBorder="1" applyAlignment="1">
      <alignment vertical="center"/>
    </xf>
    <xf numFmtId="0" fontId="23" fillId="33" borderId="31" xfId="56" quotePrefix="1" applyFont="1" applyFill="1" applyBorder="1" applyAlignment="1">
      <alignment horizontal="right" vertical="center"/>
    </xf>
    <xf numFmtId="0" fontId="23" fillId="33" borderId="35" xfId="56" quotePrefix="1" applyFont="1" applyFill="1" applyBorder="1" applyAlignment="1">
      <alignment horizontal="right" vertical="center"/>
    </xf>
    <xf numFmtId="0" fontId="27" fillId="36" borderId="32" xfId="0" applyFont="1" applyFill="1" applyBorder="1"/>
    <xf numFmtId="0" fontId="27" fillId="36" borderId="37" xfId="0" applyFont="1" applyFill="1" applyBorder="1"/>
    <xf numFmtId="0" fontId="27" fillId="36" borderId="38" xfId="0" applyFont="1" applyFill="1" applyBorder="1"/>
    <xf numFmtId="2" fontId="27" fillId="33" borderId="33" xfId="56" quotePrefix="1" applyNumberFormat="1" applyFont="1" applyFill="1" applyBorder="1"/>
    <xf numFmtId="2" fontId="27" fillId="33" borderId="34" xfId="56" quotePrefix="1" applyNumberFormat="1" applyFont="1" applyFill="1" applyBorder="1" applyAlignment="1">
      <alignment horizontal="right"/>
    </xf>
    <xf numFmtId="2" fontId="27" fillId="36" borderId="37" xfId="0" applyNumberFormat="1" applyFont="1" applyFill="1" applyBorder="1"/>
    <xf numFmtId="0" fontId="27" fillId="38" borderId="0" xfId="0" quotePrefix="1" applyFont="1" applyFill="1" applyAlignment="1">
      <alignment horizontal="left" vertical="center"/>
    </xf>
    <xf numFmtId="0" fontId="27" fillId="38" borderId="0" xfId="0" applyFont="1" applyFill="1" applyAlignment="1">
      <alignment vertical="center"/>
    </xf>
    <xf numFmtId="0" fontId="27" fillId="39" borderId="28" xfId="0" applyFont="1" applyFill="1" applyBorder="1"/>
    <xf numFmtId="0" fontId="27" fillId="39" borderId="36" xfId="0" applyFont="1" applyFill="1" applyBorder="1"/>
    <xf numFmtId="0" fontId="27" fillId="36" borderId="36" xfId="0" applyFont="1" applyFill="1" applyBorder="1"/>
    <xf numFmtId="0" fontId="27" fillId="39" borderId="34" xfId="0" applyFont="1" applyFill="1" applyBorder="1"/>
    <xf numFmtId="2" fontId="27" fillId="36" borderId="29" xfId="0" applyNumberFormat="1" applyFont="1" applyFill="1" applyBorder="1"/>
    <xf numFmtId="0" fontId="27" fillId="35" borderId="0" xfId="56" applyFont="1" applyFill="1" applyAlignment="1">
      <alignment horizontal="right"/>
    </xf>
    <xf numFmtId="0" fontId="12" fillId="37" borderId="37" xfId="56" applyFill="1" applyBorder="1" applyAlignment="1">
      <alignment horizontal="right" vertical="center" wrapText="1"/>
    </xf>
    <xf numFmtId="0" fontId="27" fillId="35" borderId="33" xfId="56" applyFont="1" applyFill="1" applyBorder="1" applyAlignment="1">
      <alignment horizontal="right"/>
    </xf>
    <xf numFmtId="0" fontId="27" fillId="35" borderId="31" xfId="56" applyFont="1" applyFill="1" applyBorder="1" applyAlignment="1">
      <alignment horizontal="right"/>
    </xf>
    <xf numFmtId="1" fontId="40" fillId="35" borderId="31" xfId="56" applyNumberFormat="1" applyFont="1" applyFill="1" applyBorder="1" applyAlignment="1">
      <alignment horizontal="right"/>
    </xf>
    <xf numFmtId="0" fontId="27" fillId="35" borderId="37" xfId="56" applyFont="1" applyFill="1" applyBorder="1" applyAlignment="1">
      <alignment horizontal="right"/>
    </xf>
    <xf numFmtId="0" fontId="27" fillId="28" borderId="33" xfId="56" applyFont="1" applyFill="1" applyBorder="1" applyAlignment="1">
      <alignment vertical="center" wrapText="1"/>
    </xf>
    <xf numFmtId="0" fontId="27" fillId="28" borderId="34" xfId="56" applyFont="1" applyFill="1" applyBorder="1" applyAlignment="1">
      <alignment vertical="center" wrapText="1"/>
    </xf>
    <xf numFmtId="0" fontId="27" fillId="28" borderId="28" xfId="56" applyFont="1" applyFill="1" applyBorder="1" applyAlignment="1">
      <alignment vertical="center"/>
    </xf>
    <xf numFmtId="0" fontId="27" fillId="28" borderId="33" xfId="56" applyFont="1" applyFill="1" applyBorder="1" applyAlignment="1">
      <alignment vertical="center"/>
    </xf>
    <xf numFmtId="2" fontId="27" fillId="33" borderId="0" xfId="56" quotePrefix="1" applyNumberFormat="1" applyFont="1" applyFill="1"/>
    <xf numFmtId="0" fontId="27" fillId="28" borderId="0" xfId="56" applyFont="1" applyFill="1" applyBorder="1" applyAlignment="1">
      <alignment vertical="center" wrapText="1"/>
    </xf>
    <xf numFmtId="1" fontId="43" fillId="34" borderId="0" xfId="56" applyNumberFormat="1" applyFont="1" applyFill="1" applyBorder="1" applyAlignment="1">
      <alignment horizontal="right"/>
    </xf>
    <xf numFmtId="1" fontId="43" fillId="34" borderId="0" xfId="56" quotePrefix="1" applyNumberFormat="1" applyFont="1" applyFill="1" applyBorder="1" applyAlignment="1">
      <alignment horizontal="right"/>
    </xf>
    <xf numFmtId="0" fontId="27" fillId="32" borderId="0" xfId="0" applyFont="1" applyFill="1" applyBorder="1"/>
    <xf numFmtId="0" fontId="27" fillId="34" borderId="0" xfId="0" applyFont="1" applyFill="1" applyBorder="1"/>
    <xf numFmtId="1" fontId="51" fillId="35" borderId="0" xfId="56" applyNumberFormat="1" applyFont="1" applyFill="1"/>
    <xf numFmtId="1" fontId="51" fillId="35" borderId="0" xfId="0" applyNumberFormat="1" applyFont="1" applyFill="1"/>
    <xf numFmtId="1" fontId="51" fillId="35" borderId="31" xfId="0" applyNumberFormat="1" applyFont="1" applyFill="1" applyBorder="1"/>
    <xf numFmtId="1" fontId="0" fillId="34" borderId="0" xfId="0" applyNumberFormat="1" applyFill="1"/>
    <xf numFmtId="2" fontId="40" fillId="33" borderId="33" xfId="56" quotePrefix="1" applyNumberFormat="1" applyFont="1" applyFill="1" applyBorder="1"/>
    <xf numFmtId="2" fontId="40" fillId="33" borderId="0" xfId="56" quotePrefix="1" applyNumberFormat="1" applyFont="1" applyFill="1"/>
    <xf numFmtId="0" fontId="36" fillId="38" borderId="0" xfId="0" quotePrefix="1" applyFont="1" applyFill="1" applyAlignment="1">
      <alignment horizontal="left" vertical="center"/>
    </xf>
    <xf numFmtId="4" fontId="0" fillId="34" borderId="44" xfId="0" applyNumberFormat="1" applyFill="1" applyBorder="1" applyAlignment="1">
      <alignment horizontal="right"/>
    </xf>
    <xf numFmtId="9" fontId="27" fillId="34" borderId="44" xfId="66" applyFont="1" applyFill="1" applyBorder="1"/>
    <xf numFmtId="9" fontId="27" fillId="34" borderId="0" xfId="66" applyFont="1" applyFill="1" applyBorder="1"/>
    <xf numFmtId="4" fontId="0" fillId="34" borderId="52" xfId="0" applyNumberFormat="1" applyFill="1" applyBorder="1" applyAlignment="1">
      <alignment horizontal="right"/>
    </xf>
    <xf numFmtId="9" fontId="27" fillId="34" borderId="52" xfId="66" applyFont="1" applyFill="1" applyBorder="1"/>
    <xf numFmtId="9" fontId="27" fillId="34" borderId="0" xfId="66" applyFont="1" applyFill="1"/>
    <xf numFmtId="0" fontId="27" fillId="38" borderId="29" xfId="56" applyFont="1" applyFill="1" applyBorder="1"/>
    <xf numFmtId="1" fontId="40" fillId="35" borderId="0" xfId="56" applyNumberFormat="1" applyFont="1" applyFill="1"/>
    <xf numFmtId="1" fontId="27" fillId="32" borderId="0" xfId="0" applyNumberFormat="1" applyFont="1" applyFill="1"/>
    <xf numFmtId="1" fontId="50" fillId="38" borderId="0" xfId="56" applyNumberFormat="1" applyFont="1" applyFill="1" applyAlignment="1">
      <alignment horizontal="right"/>
    </xf>
    <xf numFmtId="2" fontId="38" fillId="32" borderId="0" xfId="0" applyNumberFormat="1" applyFont="1" applyFill="1" applyAlignment="1">
      <alignment vertical="top" wrapText="1"/>
    </xf>
    <xf numFmtId="2" fontId="38" fillId="38" borderId="0" xfId="0" applyNumberFormat="1" applyFont="1" applyFill="1" applyAlignment="1">
      <alignment vertical="center" wrapText="1"/>
    </xf>
    <xf numFmtId="4" fontId="0" fillId="34" borderId="0" xfId="0" applyNumberFormat="1" applyFill="1" applyAlignment="1">
      <alignment horizontal="right"/>
    </xf>
    <xf numFmtId="0" fontId="34" fillId="36" borderId="0" xfId="56" applyFont="1" applyFill="1"/>
    <xf numFmtId="9" fontId="27" fillId="35" borderId="33" xfId="66" applyFont="1" applyFill="1" applyBorder="1" applyAlignment="1">
      <alignment horizontal="right"/>
    </xf>
    <xf numFmtId="9" fontId="27" fillId="35" borderId="31" xfId="66" applyFont="1" applyFill="1" applyBorder="1" applyAlignment="1">
      <alignment horizontal="right"/>
    </xf>
    <xf numFmtId="9" fontId="27" fillId="35" borderId="37" xfId="66" applyFont="1" applyFill="1" applyBorder="1" applyAlignment="1">
      <alignment horizontal="right"/>
    </xf>
    <xf numFmtId="9" fontId="40" fillId="35" borderId="31" xfId="66" applyFont="1" applyFill="1" applyBorder="1" applyAlignment="1">
      <alignment horizontal="right"/>
    </xf>
    <xf numFmtId="2" fontId="46" fillId="33" borderId="0" xfId="56" applyNumberFormat="1" applyFont="1" applyFill="1" applyBorder="1"/>
    <xf numFmtId="0" fontId="42" fillId="35" borderId="31" xfId="56" applyFont="1" applyFill="1" applyBorder="1"/>
    <xf numFmtId="0" fontId="42" fillId="35" borderId="0" xfId="56" applyFont="1" applyFill="1" applyBorder="1"/>
    <xf numFmtId="0" fontId="27" fillId="32" borderId="0" xfId="0" applyFont="1" applyFill="1" applyBorder="1" applyAlignment="1">
      <alignment vertical="center"/>
    </xf>
    <xf numFmtId="2" fontId="38" fillId="32" borderId="0" xfId="0" applyNumberFormat="1" applyFont="1" applyFill="1" applyBorder="1" applyAlignment="1">
      <alignment vertical="top" wrapText="1"/>
    </xf>
    <xf numFmtId="0" fontId="46" fillId="32" borderId="0" xfId="0" applyFont="1" applyFill="1" applyBorder="1" applyAlignment="1">
      <alignment vertical="center"/>
    </xf>
    <xf numFmtId="2" fontId="46" fillId="32" borderId="0" xfId="0" applyNumberFormat="1" applyFont="1" applyFill="1" applyBorder="1"/>
    <xf numFmtId="0" fontId="42" fillId="32" borderId="0" xfId="0" applyFont="1" applyFill="1" applyBorder="1"/>
    <xf numFmtId="2" fontId="38" fillId="32" borderId="0" xfId="0" applyNumberFormat="1" applyFont="1" applyFill="1" applyBorder="1" applyAlignment="1">
      <alignment vertical="top"/>
    </xf>
    <xf numFmtId="2" fontId="38" fillId="32" borderId="0" xfId="0" quotePrefix="1" applyNumberFormat="1" applyFont="1" applyFill="1" applyBorder="1" applyAlignment="1">
      <alignment vertical="top"/>
    </xf>
    <xf numFmtId="0" fontId="12" fillId="37" borderId="28" xfId="56" applyFill="1" applyBorder="1" applyAlignment="1">
      <alignment vertical="center"/>
    </xf>
    <xf numFmtId="0" fontId="12" fillId="37" borderId="53" xfId="56" applyFill="1" applyBorder="1" applyAlignment="1">
      <alignment horizontal="center" vertical="center" wrapText="1"/>
    </xf>
    <xf numFmtId="0" fontId="12" fillId="37" borderId="56" xfId="56" applyFill="1" applyBorder="1" applyAlignment="1">
      <alignment horizontal="center" vertical="center" wrapText="1"/>
    </xf>
    <xf numFmtId="0" fontId="12" fillId="37" borderId="53" xfId="56" applyFill="1" applyBorder="1" applyAlignment="1">
      <alignment vertical="center"/>
    </xf>
    <xf numFmtId="0" fontId="27" fillId="35" borderId="57" xfId="56" applyFont="1" applyFill="1" applyBorder="1" applyAlignment="1">
      <alignment vertical="center"/>
    </xf>
    <xf numFmtId="0" fontId="27" fillId="35" borderId="58" xfId="56" applyFont="1" applyFill="1" applyBorder="1" applyAlignment="1">
      <alignment horizontal="center" vertical="center" wrapText="1"/>
    </xf>
    <xf numFmtId="0" fontId="27" fillId="35" borderId="59" xfId="56" applyFont="1" applyFill="1" applyBorder="1" applyAlignment="1">
      <alignment horizontal="center" vertical="center" wrapText="1"/>
    </xf>
    <xf numFmtId="0" fontId="27" fillId="35" borderId="60" xfId="56" applyFont="1" applyFill="1" applyBorder="1" applyAlignment="1">
      <alignment horizontal="center" vertical="center" wrapText="1"/>
    </xf>
    <xf numFmtId="0" fontId="27" fillId="35" borderId="61" xfId="56" applyFont="1" applyFill="1" applyBorder="1" applyAlignment="1">
      <alignment horizontal="center" vertical="center" wrapText="1"/>
    </xf>
    <xf numFmtId="0" fontId="27" fillId="35" borderId="62" xfId="56" applyFont="1" applyFill="1" applyBorder="1" applyAlignment="1">
      <alignment vertical="center"/>
    </xf>
    <xf numFmtId="0" fontId="27" fillId="35" borderId="59" xfId="56" applyFont="1" applyFill="1" applyBorder="1" applyAlignment="1">
      <alignment horizontal="center" vertical="center"/>
    </xf>
    <xf numFmtId="0" fontId="12" fillId="37" borderId="29" xfId="56" applyFill="1" applyBorder="1"/>
    <xf numFmtId="0" fontId="27" fillId="35" borderId="63" xfId="56" applyFont="1" applyFill="1" applyBorder="1"/>
    <xf numFmtId="0" fontId="27" fillId="35" borderId="64" xfId="56" applyFont="1" applyFill="1" applyBorder="1" applyAlignment="1">
      <alignment horizontal="right"/>
    </xf>
    <xf numFmtId="0" fontId="27" fillId="41" borderId="33" xfId="56" applyFont="1" applyFill="1" applyBorder="1" applyAlignment="1">
      <alignment horizontal="right"/>
    </xf>
    <xf numFmtId="0" fontId="27" fillId="41" borderId="65" xfId="56" applyFont="1" applyFill="1" applyBorder="1" applyAlignment="1">
      <alignment horizontal="right"/>
    </xf>
    <xf numFmtId="0" fontId="27" fillId="35" borderId="66" xfId="56" applyFont="1" applyFill="1" applyBorder="1" applyAlignment="1">
      <alignment horizontal="right"/>
    </xf>
    <xf numFmtId="2" fontId="27" fillId="35" borderId="66" xfId="56" applyNumberFormat="1" applyFont="1" applyFill="1" applyBorder="1" applyAlignment="1">
      <alignment horizontal="right"/>
    </xf>
    <xf numFmtId="9" fontId="27" fillId="41" borderId="33" xfId="66" applyFont="1" applyFill="1" applyBorder="1" applyAlignment="1">
      <alignment horizontal="right"/>
    </xf>
    <xf numFmtId="9" fontId="27" fillId="41" borderId="65" xfId="66" applyFont="1" applyFill="1" applyBorder="1" applyAlignment="1">
      <alignment horizontal="right"/>
    </xf>
    <xf numFmtId="1" fontId="27" fillId="35" borderId="66" xfId="56" applyNumberFormat="1" applyFont="1" applyFill="1" applyBorder="1" applyAlignment="1">
      <alignment horizontal="right"/>
    </xf>
    <xf numFmtId="2" fontId="27" fillId="35" borderId="67" xfId="56" applyNumberFormat="1" applyFont="1" applyFill="1" applyBorder="1" applyAlignment="1">
      <alignment horizontal="right"/>
    </xf>
    <xf numFmtId="164" fontId="27" fillId="35" borderId="65" xfId="56" applyNumberFormat="1" applyFont="1" applyFill="1" applyBorder="1" applyAlignment="1">
      <alignment horizontal="right"/>
    </xf>
    <xf numFmtId="9" fontId="12" fillId="36" borderId="33" xfId="66" applyFont="1" applyFill="1" applyBorder="1"/>
    <xf numFmtId="0" fontId="27" fillId="35" borderId="63" xfId="56" applyFont="1" applyFill="1" applyBorder="1" applyAlignment="1">
      <alignment horizontal="right"/>
    </xf>
    <xf numFmtId="0" fontId="27" fillId="41" borderId="0" xfId="56" applyFont="1" applyFill="1" applyAlignment="1">
      <alignment horizontal="right"/>
    </xf>
    <xf numFmtId="0" fontId="27" fillId="41" borderId="68" xfId="56" applyFont="1" applyFill="1" applyBorder="1" applyAlignment="1">
      <alignment horizontal="right"/>
    </xf>
    <xf numFmtId="0" fontId="27" fillId="35" borderId="67" xfId="56" applyFont="1" applyFill="1" applyBorder="1" applyAlignment="1">
      <alignment horizontal="right"/>
    </xf>
    <xf numFmtId="9" fontId="27" fillId="41" borderId="68" xfId="66" applyFont="1" applyFill="1" applyBorder="1" applyAlignment="1">
      <alignment horizontal="right"/>
    </xf>
    <xf numFmtId="1" fontId="27" fillId="35" borderId="67" xfId="56" applyNumberFormat="1" applyFont="1" applyFill="1" applyBorder="1" applyAlignment="1">
      <alignment horizontal="right"/>
    </xf>
    <xf numFmtId="164" fontId="27" fillId="35" borderId="68" xfId="56" applyNumberFormat="1" applyFont="1" applyFill="1" applyBorder="1" applyAlignment="1">
      <alignment horizontal="right"/>
    </xf>
    <xf numFmtId="9" fontId="12" fillId="36" borderId="0" xfId="66" applyFont="1" applyFill="1"/>
    <xf numFmtId="1" fontId="27" fillId="35" borderId="63" xfId="56" applyNumberFormat="1" applyFont="1" applyFill="1" applyBorder="1" applyAlignment="1">
      <alignment horizontal="right"/>
    </xf>
    <xf numFmtId="1" fontId="27" fillId="41" borderId="0" xfId="56" applyNumberFormat="1" applyFont="1" applyFill="1" applyAlignment="1">
      <alignment horizontal="right"/>
    </xf>
    <xf numFmtId="1" fontId="27" fillId="41" borderId="68" xfId="56" applyNumberFormat="1" applyFont="1" applyFill="1" applyBorder="1" applyAlignment="1">
      <alignment horizontal="right"/>
    </xf>
    <xf numFmtId="0" fontId="46" fillId="35" borderId="63" xfId="56" applyFont="1" applyFill="1" applyBorder="1"/>
    <xf numFmtId="1" fontId="46" fillId="35" borderId="63" xfId="56" applyNumberFormat="1" applyFont="1" applyFill="1" applyBorder="1" applyAlignment="1">
      <alignment horizontal="right"/>
    </xf>
    <xf numFmtId="0" fontId="46" fillId="41" borderId="0" xfId="56" applyFont="1" applyFill="1" applyAlignment="1">
      <alignment horizontal="right"/>
    </xf>
    <xf numFmtId="0" fontId="46" fillId="41" borderId="68" xfId="56" applyFont="1" applyFill="1" applyBorder="1" applyAlignment="1">
      <alignment horizontal="right"/>
    </xf>
    <xf numFmtId="0" fontId="46" fillId="35" borderId="67" xfId="56" applyFont="1" applyFill="1" applyBorder="1" applyAlignment="1">
      <alignment horizontal="right"/>
    </xf>
    <xf numFmtId="1" fontId="46" fillId="41" borderId="0" xfId="56" applyNumberFormat="1" applyFont="1" applyFill="1" applyAlignment="1">
      <alignment horizontal="right"/>
    </xf>
    <xf numFmtId="1" fontId="46" fillId="41" borderId="68" xfId="56" applyNumberFormat="1" applyFont="1" applyFill="1" applyBorder="1" applyAlignment="1">
      <alignment horizontal="right"/>
    </xf>
    <xf numFmtId="2" fontId="46" fillId="35" borderId="67" xfId="56" applyNumberFormat="1" applyFont="1" applyFill="1" applyBorder="1" applyAlignment="1">
      <alignment horizontal="right"/>
    </xf>
    <xf numFmtId="9" fontId="46" fillId="41" borderId="68" xfId="66" applyFont="1" applyFill="1" applyBorder="1" applyAlignment="1">
      <alignment horizontal="right"/>
    </xf>
    <xf numFmtId="1" fontId="46" fillId="35" borderId="67" xfId="56" applyNumberFormat="1" applyFont="1" applyFill="1" applyBorder="1" applyAlignment="1">
      <alignment horizontal="right"/>
    </xf>
    <xf numFmtId="164" fontId="46" fillId="35" borderId="68" xfId="56" applyNumberFormat="1" applyFont="1" applyFill="1" applyBorder="1" applyAlignment="1">
      <alignment horizontal="right"/>
    </xf>
    <xf numFmtId="0" fontId="12" fillId="37" borderId="30" xfId="56" applyFill="1" applyBorder="1"/>
    <xf numFmtId="0" fontId="27" fillId="35" borderId="69" xfId="56" applyFont="1" applyFill="1" applyBorder="1"/>
    <xf numFmtId="0" fontId="27" fillId="35" borderId="69" xfId="56" applyFont="1" applyFill="1" applyBorder="1" applyAlignment="1">
      <alignment horizontal="right"/>
    </xf>
    <xf numFmtId="0" fontId="27" fillId="41" borderId="31" xfId="56" applyFont="1" applyFill="1" applyBorder="1" applyAlignment="1">
      <alignment horizontal="right"/>
    </xf>
    <xf numFmtId="0" fontId="27" fillId="41" borderId="70" xfId="56" applyFont="1" applyFill="1" applyBorder="1" applyAlignment="1">
      <alignment horizontal="right"/>
    </xf>
    <xf numFmtId="0" fontId="27" fillId="35" borderId="71" xfId="56" applyFont="1" applyFill="1" applyBorder="1" applyAlignment="1">
      <alignment horizontal="right"/>
    </xf>
    <xf numFmtId="1" fontId="27" fillId="35" borderId="71" xfId="56" applyNumberFormat="1" applyFont="1" applyFill="1" applyBorder="1" applyAlignment="1">
      <alignment horizontal="right"/>
    </xf>
    <xf numFmtId="9" fontId="27" fillId="41" borderId="31" xfId="66" applyFont="1" applyFill="1" applyBorder="1" applyAlignment="1">
      <alignment horizontal="right"/>
    </xf>
    <xf numFmtId="9" fontId="27" fillId="41" borderId="70" xfId="66" applyFont="1" applyFill="1" applyBorder="1" applyAlignment="1">
      <alignment horizontal="right"/>
    </xf>
    <xf numFmtId="164" fontId="27" fillId="35" borderId="70" xfId="56" applyNumberFormat="1" applyFont="1" applyFill="1" applyBorder="1" applyAlignment="1">
      <alignment horizontal="right"/>
    </xf>
    <xf numFmtId="0" fontId="12" fillId="37" borderId="32" xfId="56" applyFill="1" applyBorder="1"/>
    <xf numFmtId="0" fontId="27" fillId="35" borderId="72" xfId="56" applyFont="1" applyFill="1" applyBorder="1"/>
    <xf numFmtId="0" fontId="27" fillId="35" borderId="72" xfId="56" applyFont="1" applyFill="1" applyBorder="1" applyAlignment="1">
      <alignment horizontal="right"/>
    </xf>
    <xf numFmtId="0" fontId="27" fillId="41" borderId="37" xfId="56" applyFont="1" applyFill="1" applyBorder="1" applyAlignment="1">
      <alignment horizontal="right"/>
    </xf>
    <xf numFmtId="0" fontId="27" fillId="41" borderId="73" xfId="56" applyFont="1" applyFill="1" applyBorder="1" applyAlignment="1">
      <alignment horizontal="right"/>
    </xf>
    <xf numFmtId="0" fontId="27" fillId="35" borderId="74" xfId="56" applyFont="1" applyFill="1" applyBorder="1" applyAlignment="1">
      <alignment horizontal="right"/>
    </xf>
    <xf numFmtId="1" fontId="27" fillId="41" borderId="37" xfId="56" applyNumberFormat="1" applyFont="1" applyFill="1" applyBorder="1" applyAlignment="1">
      <alignment horizontal="right"/>
    </xf>
    <xf numFmtId="1" fontId="27" fillId="35" borderId="74" xfId="56" applyNumberFormat="1" applyFont="1" applyFill="1" applyBorder="1" applyAlignment="1">
      <alignment horizontal="right"/>
    </xf>
    <xf numFmtId="9" fontId="27" fillId="41" borderId="37" xfId="66" applyFont="1" applyFill="1" applyBorder="1" applyAlignment="1">
      <alignment horizontal="right"/>
    </xf>
    <xf numFmtId="9" fontId="27" fillId="41" borderId="73" xfId="66" applyFont="1" applyFill="1" applyBorder="1" applyAlignment="1">
      <alignment horizontal="right"/>
    </xf>
    <xf numFmtId="164" fontId="27" fillId="35" borderId="73" xfId="56" applyNumberFormat="1" applyFont="1" applyFill="1" applyBorder="1" applyAlignment="1">
      <alignment horizontal="right"/>
    </xf>
    <xf numFmtId="1" fontId="40" fillId="35" borderId="63" xfId="56" applyNumberFormat="1" applyFont="1" applyFill="1" applyBorder="1" applyAlignment="1">
      <alignment horizontal="right"/>
    </xf>
    <xf numFmtId="1" fontId="40" fillId="41" borderId="0" xfId="56" applyNumberFormat="1" applyFont="1" applyFill="1" applyAlignment="1">
      <alignment horizontal="right"/>
    </xf>
    <xf numFmtId="1" fontId="40" fillId="41" borderId="68" xfId="56" applyNumberFormat="1" applyFont="1" applyFill="1" applyBorder="1" applyAlignment="1">
      <alignment horizontal="right"/>
    </xf>
    <xf numFmtId="1" fontId="40" fillId="35" borderId="67" xfId="56" applyNumberFormat="1" applyFont="1" applyFill="1" applyBorder="1" applyAlignment="1">
      <alignment horizontal="right"/>
    </xf>
    <xf numFmtId="9" fontId="40" fillId="41" borderId="68" xfId="66" applyFont="1" applyFill="1" applyBorder="1" applyAlignment="1">
      <alignment horizontal="right"/>
    </xf>
    <xf numFmtId="164" fontId="40" fillId="35" borderId="68" xfId="56" applyNumberFormat="1" applyFont="1" applyFill="1" applyBorder="1" applyAlignment="1">
      <alignment horizontal="right"/>
    </xf>
    <xf numFmtId="1" fontId="40" fillId="35" borderId="69" xfId="56" applyNumberFormat="1" applyFont="1" applyFill="1" applyBorder="1" applyAlignment="1">
      <alignment horizontal="right"/>
    </xf>
    <xf numFmtId="1" fontId="40" fillId="41" borderId="31" xfId="56" applyNumberFormat="1" applyFont="1" applyFill="1" applyBorder="1" applyAlignment="1">
      <alignment horizontal="right"/>
    </xf>
    <xf numFmtId="1" fontId="40" fillId="41" borderId="70" xfId="56" applyNumberFormat="1" applyFont="1" applyFill="1" applyBorder="1" applyAlignment="1">
      <alignment horizontal="right"/>
    </xf>
    <xf numFmtId="1" fontId="40" fillId="35" borderId="71" xfId="56" applyNumberFormat="1" applyFont="1" applyFill="1" applyBorder="1" applyAlignment="1">
      <alignment horizontal="right"/>
    </xf>
    <xf numFmtId="9" fontId="40" fillId="41" borderId="31" xfId="66" applyFont="1" applyFill="1" applyBorder="1" applyAlignment="1">
      <alignment horizontal="right"/>
    </xf>
    <xf numFmtId="9" fontId="40" fillId="41" borderId="70" xfId="66" applyFont="1" applyFill="1" applyBorder="1" applyAlignment="1">
      <alignment horizontal="right"/>
    </xf>
    <xf numFmtId="164" fontId="40" fillId="35" borderId="70" xfId="56" applyNumberFormat="1" applyFont="1" applyFill="1" applyBorder="1" applyAlignment="1">
      <alignment horizontal="right"/>
    </xf>
    <xf numFmtId="0" fontId="27" fillId="35" borderId="75" xfId="56" applyFont="1" applyFill="1" applyBorder="1"/>
    <xf numFmtId="0" fontId="27" fillId="41" borderId="77" xfId="56" applyFont="1" applyFill="1" applyBorder="1" applyAlignment="1">
      <alignment horizontal="right"/>
    </xf>
    <xf numFmtId="0" fontId="27" fillId="35" borderId="62" xfId="56" applyFont="1" applyFill="1" applyBorder="1" applyAlignment="1">
      <alignment horizontal="right"/>
    </xf>
    <xf numFmtId="1" fontId="27" fillId="41" borderId="76" xfId="56" applyNumberFormat="1" applyFont="1" applyFill="1" applyBorder="1" applyAlignment="1">
      <alignment horizontal="right"/>
    </xf>
    <xf numFmtId="1" fontId="27" fillId="35" borderId="62" xfId="56" applyNumberFormat="1" applyFont="1" applyFill="1" applyBorder="1" applyAlignment="1">
      <alignment horizontal="right"/>
    </xf>
    <xf numFmtId="9" fontId="27" fillId="41" borderId="76" xfId="66" applyFont="1" applyFill="1" applyBorder="1" applyAlignment="1">
      <alignment horizontal="right"/>
    </xf>
    <xf numFmtId="9" fontId="27" fillId="41" borderId="77" xfId="66" applyFont="1" applyFill="1" applyBorder="1" applyAlignment="1">
      <alignment horizontal="right"/>
    </xf>
    <xf numFmtId="164" fontId="27" fillId="35" borderId="77" xfId="56" applyNumberFormat="1" applyFont="1" applyFill="1" applyBorder="1" applyAlignment="1">
      <alignment horizontal="right"/>
    </xf>
    <xf numFmtId="1" fontId="34" fillId="34" borderId="0" xfId="56" applyNumberFormat="1" applyFont="1" applyFill="1" applyAlignment="1">
      <alignment horizontal="right"/>
    </xf>
    <xf numFmtId="1" fontId="27" fillId="41" borderId="33" xfId="56" applyNumberFormat="1" applyFont="1" applyFill="1" applyBorder="1" applyAlignment="1">
      <alignment horizontal="right"/>
    </xf>
    <xf numFmtId="1" fontId="27" fillId="41" borderId="31" xfId="56" applyNumberFormat="1" applyFont="1" applyFill="1" applyBorder="1" applyAlignment="1">
      <alignment horizontal="right"/>
    </xf>
    <xf numFmtId="9" fontId="27" fillId="41" borderId="0" xfId="66" applyFont="1" applyFill="1" applyAlignment="1">
      <alignment horizontal="right"/>
    </xf>
    <xf numFmtId="9" fontId="46" fillId="41" borderId="0" xfId="66" applyFont="1" applyFill="1" applyAlignment="1">
      <alignment horizontal="right"/>
    </xf>
    <xf numFmtId="9" fontId="40" fillId="41" borderId="0" xfId="66" applyFont="1" applyFill="1" applyAlignment="1">
      <alignment horizontal="right"/>
    </xf>
    <xf numFmtId="0" fontId="12" fillId="36" borderId="0" xfId="56" applyFill="1" applyBorder="1"/>
    <xf numFmtId="0" fontId="27" fillId="35" borderId="0" xfId="56" applyFont="1" applyFill="1" applyBorder="1" applyAlignment="1">
      <alignment horizontal="right"/>
    </xf>
    <xf numFmtId="1" fontId="27" fillId="35" borderId="0" xfId="56" applyNumberFormat="1" applyFont="1" applyFill="1" applyBorder="1" applyAlignment="1">
      <alignment horizontal="right"/>
    </xf>
    <xf numFmtId="1" fontId="46" fillId="35" borderId="0" xfId="56" applyNumberFormat="1" applyFont="1" applyFill="1" applyBorder="1" applyAlignment="1">
      <alignment horizontal="right"/>
    </xf>
    <xf numFmtId="0" fontId="46" fillId="35" borderId="0" xfId="56" applyFont="1" applyFill="1" applyBorder="1" applyAlignment="1">
      <alignment horizontal="right"/>
    </xf>
    <xf numFmtId="1" fontId="40" fillId="35" borderId="0" xfId="56" applyNumberFormat="1" applyFont="1" applyFill="1" applyBorder="1" applyAlignment="1">
      <alignment horizontal="right"/>
    </xf>
    <xf numFmtId="0" fontId="27" fillId="35" borderId="76" xfId="56" applyFont="1" applyFill="1" applyBorder="1" applyAlignment="1">
      <alignment horizontal="right"/>
    </xf>
    <xf numFmtId="0" fontId="12" fillId="37" borderId="0" xfId="56" applyFill="1" applyBorder="1" applyAlignment="1">
      <alignment horizontal="right" vertical="center" wrapText="1"/>
    </xf>
    <xf numFmtId="164" fontId="12" fillId="36" borderId="0" xfId="56" applyNumberFormat="1" applyFill="1" applyBorder="1"/>
    <xf numFmtId="164" fontId="12" fillId="36" borderId="0" xfId="56" applyNumberFormat="1" applyFill="1" applyBorder="1" applyAlignment="1">
      <alignment horizontal="right"/>
    </xf>
    <xf numFmtId="0" fontId="23" fillId="34" borderId="44" xfId="56" applyFont="1" applyFill="1" applyBorder="1"/>
    <xf numFmtId="0" fontId="12" fillId="34" borderId="0" xfId="56" applyFill="1" applyBorder="1" applyAlignment="1">
      <alignment vertical="top"/>
    </xf>
    <xf numFmtId="9" fontId="27" fillId="35" borderId="0" xfId="66" applyFont="1" applyFill="1" applyBorder="1" applyAlignment="1">
      <alignment horizontal="right"/>
    </xf>
    <xf numFmtId="9" fontId="46" fillId="35" borderId="0" xfId="66" applyFont="1" applyFill="1" applyBorder="1" applyAlignment="1">
      <alignment horizontal="right"/>
    </xf>
    <xf numFmtId="9" fontId="40" fillId="35" borderId="0" xfId="66" applyFont="1" applyFill="1" applyBorder="1" applyAlignment="1">
      <alignment horizontal="right"/>
    </xf>
    <xf numFmtId="9" fontId="27" fillId="35" borderId="76" xfId="66" applyFont="1" applyFill="1" applyBorder="1" applyAlignment="1">
      <alignment horizontal="right"/>
    </xf>
    <xf numFmtId="164" fontId="27" fillId="35" borderId="64" xfId="56" applyNumberFormat="1" applyFont="1" applyFill="1" applyBorder="1" applyAlignment="1">
      <alignment horizontal="right"/>
    </xf>
    <xf numFmtId="164" fontId="27" fillId="35" borderId="33" xfId="56" applyNumberFormat="1" applyFont="1" applyFill="1" applyBorder="1" applyAlignment="1">
      <alignment horizontal="right"/>
    </xf>
    <xf numFmtId="164" fontId="27" fillId="41" borderId="33" xfId="56" applyNumberFormat="1" applyFont="1" applyFill="1" applyBorder="1" applyAlignment="1">
      <alignment horizontal="right"/>
    </xf>
    <xf numFmtId="164" fontId="27" fillId="41" borderId="65" xfId="56" applyNumberFormat="1" applyFont="1" applyFill="1" applyBorder="1" applyAlignment="1">
      <alignment horizontal="right"/>
    </xf>
    <xf numFmtId="164" fontId="27" fillId="35" borderId="63" xfId="56" applyNumberFormat="1" applyFont="1" applyFill="1" applyBorder="1" applyAlignment="1">
      <alignment horizontal="right"/>
    </xf>
    <xf numFmtId="164" fontId="27" fillId="35" borderId="0" xfId="56" applyNumberFormat="1" applyFont="1" applyFill="1" applyBorder="1" applyAlignment="1">
      <alignment horizontal="right"/>
    </xf>
    <xf numFmtId="164" fontId="27" fillId="41" borderId="0" xfId="56" applyNumberFormat="1" applyFont="1" applyFill="1" applyAlignment="1">
      <alignment horizontal="right"/>
    </xf>
    <xf numFmtId="164" fontId="27" fillId="41" borderId="68" xfId="56" applyNumberFormat="1" applyFont="1" applyFill="1" applyBorder="1" applyAlignment="1">
      <alignment horizontal="right"/>
    </xf>
    <xf numFmtId="164" fontId="46" fillId="35" borderId="63" xfId="56" applyNumberFormat="1" applyFont="1" applyFill="1" applyBorder="1" applyAlignment="1">
      <alignment horizontal="right"/>
    </xf>
    <xf numFmtId="164" fontId="46" fillId="35" borderId="0" xfId="56" applyNumberFormat="1" applyFont="1" applyFill="1" applyBorder="1" applyAlignment="1">
      <alignment horizontal="right"/>
    </xf>
    <xf numFmtId="164" fontId="46" fillId="41" borderId="0" xfId="56" applyNumberFormat="1" applyFont="1" applyFill="1" applyAlignment="1">
      <alignment horizontal="right"/>
    </xf>
    <xf numFmtId="164" fontId="46" fillId="41" borderId="68" xfId="56" applyNumberFormat="1" applyFont="1" applyFill="1" applyBorder="1" applyAlignment="1">
      <alignment horizontal="right"/>
    </xf>
    <xf numFmtId="164" fontId="27" fillId="35" borderId="69" xfId="56" applyNumberFormat="1" applyFont="1" applyFill="1" applyBorder="1" applyAlignment="1">
      <alignment horizontal="right"/>
    </xf>
    <xf numFmtId="164" fontId="27" fillId="35" borderId="31" xfId="56" applyNumberFormat="1" applyFont="1" applyFill="1" applyBorder="1" applyAlignment="1">
      <alignment horizontal="right"/>
    </xf>
    <xf numFmtId="164" fontId="27" fillId="41" borderId="31" xfId="56" applyNumberFormat="1" applyFont="1" applyFill="1" applyBorder="1" applyAlignment="1">
      <alignment horizontal="right"/>
    </xf>
    <xf numFmtId="164" fontId="27" fillId="41" borderId="70" xfId="56" applyNumberFormat="1" applyFont="1" applyFill="1" applyBorder="1" applyAlignment="1">
      <alignment horizontal="right"/>
    </xf>
    <xf numFmtId="164" fontId="27" fillId="35" borderId="72" xfId="56" applyNumberFormat="1" applyFont="1" applyFill="1" applyBorder="1" applyAlignment="1">
      <alignment horizontal="right"/>
    </xf>
    <xf numFmtId="164" fontId="27" fillId="35" borderId="37" xfId="56" applyNumberFormat="1" applyFont="1" applyFill="1" applyBorder="1" applyAlignment="1">
      <alignment horizontal="right"/>
    </xf>
    <xf numFmtId="164" fontId="27" fillId="41" borderId="37" xfId="56" applyNumberFormat="1" applyFont="1" applyFill="1" applyBorder="1" applyAlignment="1">
      <alignment horizontal="right"/>
    </xf>
    <xf numFmtId="164" fontId="27" fillId="41" borderId="73" xfId="56" applyNumberFormat="1" applyFont="1" applyFill="1" applyBorder="1" applyAlignment="1">
      <alignment horizontal="right"/>
    </xf>
    <xf numFmtId="164" fontId="40" fillId="35" borderId="63" xfId="56" applyNumberFormat="1" applyFont="1" applyFill="1" applyBorder="1" applyAlignment="1">
      <alignment horizontal="right"/>
    </xf>
    <xf numFmtId="164" fontId="40" fillId="35" borderId="0" xfId="56" applyNumberFormat="1" applyFont="1" applyFill="1" applyBorder="1" applyAlignment="1">
      <alignment horizontal="right"/>
    </xf>
    <xf numFmtId="164" fontId="40" fillId="41" borderId="0" xfId="56" applyNumberFormat="1" applyFont="1" applyFill="1" applyAlignment="1">
      <alignment horizontal="right"/>
    </xf>
    <xf numFmtId="164" fontId="40" fillId="41" borderId="68" xfId="56" applyNumberFormat="1" applyFont="1" applyFill="1" applyBorder="1" applyAlignment="1">
      <alignment horizontal="right"/>
    </xf>
    <xf numFmtId="164" fontId="40" fillId="35" borderId="69" xfId="56" applyNumberFormat="1" applyFont="1" applyFill="1" applyBorder="1" applyAlignment="1">
      <alignment horizontal="right"/>
    </xf>
    <xf numFmtId="164" fontId="40" fillId="35" borderId="31" xfId="56" applyNumberFormat="1" applyFont="1" applyFill="1" applyBorder="1" applyAlignment="1">
      <alignment horizontal="right"/>
    </xf>
    <xf numFmtId="164" fontId="40" fillId="41" borderId="31" xfId="56" applyNumberFormat="1" applyFont="1" applyFill="1" applyBorder="1" applyAlignment="1">
      <alignment horizontal="right"/>
    </xf>
    <xf numFmtId="164" fontId="40" fillId="41" borderId="70" xfId="56" applyNumberFormat="1" applyFont="1" applyFill="1" applyBorder="1" applyAlignment="1">
      <alignment horizontal="right"/>
    </xf>
    <xf numFmtId="164" fontId="27" fillId="35" borderId="75" xfId="56" applyNumberFormat="1" applyFont="1" applyFill="1" applyBorder="1" applyAlignment="1">
      <alignment horizontal="right"/>
    </xf>
    <xf numFmtId="164" fontId="27" fillId="35" borderId="76" xfId="56" applyNumberFormat="1" applyFont="1" applyFill="1" applyBorder="1" applyAlignment="1">
      <alignment horizontal="right"/>
    </xf>
    <xf numFmtId="164" fontId="27" fillId="41" borderId="76" xfId="56" applyNumberFormat="1" applyFont="1" applyFill="1" applyBorder="1" applyAlignment="1">
      <alignment horizontal="right"/>
    </xf>
    <xf numFmtId="164" fontId="27" fillId="41" borderId="77" xfId="56" applyNumberFormat="1" applyFont="1" applyFill="1" applyBorder="1" applyAlignment="1">
      <alignment horizontal="right"/>
    </xf>
    <xf numFmtId="0" fontId="23" fillId="33" borderId="78" xfId="56" quotePrefix="1" applyFont="1" applyFill="1" applyBorder="1" applyAlignment="1">
      <alignment horizontal="right" vertical="center"/>
    </xf>
    <xf numFmtId="0" fontId="23" fillId="33" borderId="79" xfId="56" quotePrefix="1" applyFont="1" applyFill="1" applyBorder="1" applyAlignment="1">
      <alignment vertical="center"/>
    </xf>
    <xf numFmtId="1" fontId="51" fillId="35" borderId="46" xfId="56" applyNumberFormat="1" applyFont="1" applyFill="1" applyBorder="1"/>
    <xf numFmtId="1" fontId="51" fillId="35" borderId="79" xfId="0" applyNumberFormat="1" applyFont="1" applyFill="1" applyBorder="1"/>
    <xf numFmtId="1" fontId="43" fillId="34" borderId="46" xfId="56" applyNumberFormat="1" applyFont="1" applyFill="1" applyBorder="1" applyAlignment="1">
      <alignment horizontal="right"/>
    </xf>
    <xf numFmtId="0" fontId="36" fillId="28" borderId="78" xfId="56" applyFont="1" applyFill="1" applyBorder="1" applyAlignment="1">
      <alignment vertical="center"/>
    </xf>
    <xf numFmtId="9" fontId="27" fillId="35" borderId="66" xfId="66" applyFont="1" applyFill="1" applyBorder="1" applyAlignment="1">
      <alignment horizontal="right"/>
    </xf>
    <xf numFmtId="9" fontId="27" fillId="35" borderId="67" xfId="66" applyFont="1" applyFill="1" applyBorder="1" applyAlignment="1">
      <alignment horizontal="right"/>
    </xf>
    <xf numFmtId="9" fontId="46" fillId="35" borderId="67" xfId="66" applyFont="1" applyFill="1" applyBorder="1" applyAlignment="1">
      <alignment horizontal="right"/>
    </xf>
    <xf numFmtId="9" fontId="27" fillId="35" borderId="71" xfId="66" applyFont="1" applyFill="1" applyBorder="1" applyAlignment="1">
      <alignment horizontal="right"/>
    </xf>
    <xf numFmtId="9" fontId="27" fillId="35" borderId="74" xfId="66" applyFont="1" applyFill="1" applyBorder="1" applyAlignment="1">
      <alignment horizontal="right"/>
    </xf>
    <xf numFmtId="9" fontId="40" fillId="35" borderId="67" xfId="66" applyFont="1" applyFill="1" applyBorder="1" applyAlignment="1">
      <alignment horizontal="right"/>
    </xf>
    <xf numFmtId="9" fontId="40" fillId="35" borderId="71" xfId="66" applyFont="1" applyFill="1" applyBorder="1" applyAlignment="1">
      <alignment horizontal="right"/>
    </xf>
    <xf numFmtId="9" fontId="27" fillId="35" borderId="62" xfId="66" applyFont="1" applyFill="1" applyBorder="1" applyAlignment="1">
      <alignment horizontal="right"/>
    </xf>
    <xf numFmtId="0" fontId="53" fillId="33" borderId="34" xfId="56" quotePrefix="1" applyFont="1" applyFill="1" applyBorder="1" applyAlignment="1">
      <alignment horizontal="right" vertical="center"/>
    </xf>
    <xf numFmtId="0" fontId="53" fillId="33" borderId="35" xfId="56" quotePrefix="1" applyFont="1" applyFill="1" applyBorder="1" applyAlignment="1">
      <alignment horizontal="right" vertical="center"/>
    </xf>
    <xf numFmtId="2" fontId="40" fillId="33" borderId="34" xfId="56" quotePrefix="1" applyNumberFormat="1" applyFont="1" applyFill="1" applyBorder="1" applyAlignment="1">
      <alignment horizontal="right"/>
    </xf>
    <xf numFmtId="2" fontId="40" fillId="33" borderId="36" xfId="56" quotePrefix="1" applyNumberFormat="1" applyFont="1" applyFill="1" applyBorder="1" applyAlignment="1">
      <alignment horizontal="right"/>
    </xf>
    <xf numFmtId="1" fontId="27" fillId="35" borderId="75" xfId="56" applyNumberFormat="1" applyFont="1" applyFill="1" applyBorder="1" applyAlignment="1">
      <alignment horizontal="right"/>
    </xf>
    <xf numFmtId="1" fontId="27" fillId="35" borderId="76" xfId="56" applyNumberFormat="1" applyFont="1" applyFill="1" applyBorder="1" applyAlignment="1">
      <alignment horizontal="right"/>
    </xf>
    <xf numFmtId="1" fontId="27" fillId="41" borderId="77" xfId="56" applyNumberFormat="1" applyFont="1" applyFill="1" applyBorder="1" applyAlignment="1">
      <alignment horizontal="right"/>
    </xf>
    <xf numFmtId="1" fontId="51" fillId="41" borderId="76" xfId="56" applyNumberFormat="1" applyFont="1" applyFill="1" applyBorder="1" applyAlignment="1">
      <alignment horizontal="right"/>
    </xf>
    <xf numFmtId="0" fontId="51" fillId="35" borderId="64" xfId="56" applyFont="1" applyFill="1" applyBorder="1" applyAlignment="1">
      <alignment horizontal="right"/>
    </xf>
    <xf numFmtId="0" fontId="51" fillId="35" borderId="63" xfId="56" applyFont="1" applyFill="1" applyBorder="1" applyAlignment="1">
      <alignment horizontal="right"/>
    </xf>
    <xf numFmtId="1" fontId="51" fillId="35" borderId="63" xfId="56" applyNumberFormat="1" applyFont="1" applyFill="1" applyBorder="1" applyAlignment="1">
      <alignment horizontal="right"/>
    </xf>
    <xf numFmtId="0" fontId="51" fillId="35" borderId="69" xfId="56" applyFont="1" applyFill="1" applyBorder="1" applyAlignment="1">
      <alignment horizontal="right"/>
    </xf>
    <xf numFmtId="0" fontId="51" fillId="35" borderId="72" xfId="56" applyFont="1" applyFill="1" applyBorder="1" applyAlignment="1">
      <alignment horizontal="right"/>
    </xf>
    <xf numFmtId="1" fontId="51" fillId="35" borderId="69" xfId="56" applyNumberFormat="1" applyFont="1" applyFill="1" applyBorder="1" applyAlignment="1">
      <alignment horizontal="right"/>
    </xf>
    <xf numFmtId="1" fontId="51" fillId="35" borderId="75" xfId="56" applyNumberFormat="1" applyFont="1" applyFill="1" applyBorder="1" applyAlignment="1">
      <alignment horizontal="right"/>
    </xf>
    <xf numFmtId="0" fontId="51" fillId="35" borderId="75" xfId="56" applyFont="1" applyFill="1" applyBorder="1" applyAlignment="1">
      <alignment horizontal="right"/>
    </xf>
    <xf numFmtId="9" fontId="51" fillId="35" borderId="64" xfId="66" applyFont="1" applyFill="1" applyBorder="1" applyAlignment="1">
      <alignment horizontal="right"/>
    </xf>
    <xf numFmtId="9" fontId="51" fillId="35" borderId="63" xfId="66" applyFont="1" applyFill="1" applyBorder="1" applyAlignment="1">
      <alignment horizontal="right"/>
    </xf>
    <xf numFmtId="9" fontId="51" fillId="35" borderId="69" xfId="66" applyFont="1" applyFill="1" applyBorder="1" applyAlignment="1">
      <alignment horizontal="right"/>
    </xf>
    <xf numFmtId="9" fontId="51" fillId="35" borderId="72" xfId="66" applyFont="1" applyFill="1" applyBorder="1" applyAlignment="1">
      <alignment horizontal="right"/>
    </xf>
    <xf numFmtId="9" fontId="51" fillId="35" borderId="75" xfId="66" applyFont="1" applyFill="1" applyBorder="1" applyAlignment="1">
      <alignment horizontal="right"/>
    </xf>
    <xf numFmtId="1" fontId="51" fillId="41" borderId="0" xfId="56" applyNumberFormat="1" applyFont="1" applyFill="1" applyAlignment="1">
      <alignment horizontal="right"/>
    </xf>
    <xf numFmtId="1" fontId="27" fillId="38" borderId="0" xfId="56" applyNumberFormat="1" applyFont="1" applyFill="1"/>
    <xf numFmtId="0" fontId="27" fillId="38" borderId="0" xfId="0" applyFont="1" applyFill="1"/>
    <xf numFmtId="0" fontId="12" fillId="37" borderId="55" xfId="56" applyFill="1" applyBorder="1" applyAlignment="1">
      <alignment horizontal="center" vertical="center" wrapText="1"/>
    </xf>
    <xf numFmtId="0" fontId="12" fillId="37" borderId="56" xfId="56" applyFill="1" applyBorder="1" applyAlignment="1">
      <alignment horizontal="center" vertical="center" wrapText="1"/>
    </xf>
    <xf numFmtId="0" fontId="23" fillId="33" borderId="0" xfId="56" quotePrefix="1" applyFont="1" applyFill="1" applyBorder="1" applyAlignment="1">
      <alignment horizontal="right" vertical="center"/>
    </xf>
    <xf numFmtId="0" fontId="23" fillId="33" borderId="0" xfId="56" quotePrefix="1" applyFont="1" applyFill="1" applyBorder="1" applyAlignment="1">
      <alignment vertical="center"/>
    </xf>
    <xf numFmtId="1" fontId="51" fillId="35" borderId="0" xfId="0" applyNumberFormat="1" applyFont="1" applyFill="1" applyBorder="1"/>
    <xf numFmtId="0" fontId="12" fillId="37" borderId="54" xfId="56" applyFill="1" applyBorder="1" applyAlignment="1">
      <alignment horizontal="center" vertical="center" wrapText="1"/>
    </xf>
    <xf numFmtId="0" fontId="12" fillId="37" borderId="55" xfId="56" applyFill="1" applyBorder="1" applyAlignment="1">
      <alignment horizontal="center" vertical="center" wrapText="1"/>
    </xf>
    <xf numFmtId="0" fontId="12" fillId="37" borderId="56" xfId="56" applyFill="1" applyBorder="1" applyAlignment="1">
      <alignment horizontal="center" vertical="center" wrapText="1"/>
    </xf>
    <xf numFmtId="0" fontId="2" fillId="40" borderId="43" xfId="0" applyFont="1" applyFill="1" applyBorder="1" applyAlignment="1">
      <alignment horizontal="left" vertical="top" wrapText="1"/>
    </xf>
    <xf numFmtId="0" fontId="2" fillId="40" borderId="44" xfId="0" applyFont="1" applyFill="1" applyBorder="1" applyAlignment="1">
      <alignment horizontal="left" vertical="top" wrapText="1"/>
    </xf>
    <xf numFmtId="0" fontId="2" fillId="40" borderId="45" xfId="0" applyFont="1" applyFill="1" applyBorder="1" applyAlignment="1">
      <alignment horizontal="left" vertical="top" wrapText="1"/>
    </xf>
    <xf numFmtId="0" fontId="2" fillId="40" borderId="46" xfId="0" applyFont="1" applyFill="1" applyBorder="1" applyAlignment="1">
      <alignment horizontal="left" vertical="top" wrapText="1"/>
    </xf>
    <xf numFmtId="0" fontId="2" fillId="40" borderId="0" xfId="0" applyFont="1" applyFill="1" applyAlignment="1">
      <alignment horizontal="left" vertical="top" wrapText="1"/>
    </xf>
    <xf numFmtId="0" fontId="2" fillId="40" borderId="47" xfId="0" applyFont="1" applyFill="1" applyBorder="1" applyAlignment="1">
      <alignment horizontal="left" vertical="top" wrapText="1"/>
    </xf>
    <xf numFmtId="0" fontId="2" fillId="40" borderId="48" xfId="0" applyFont="1" applyFill="1" applyBorder="1" applyAlignment="1">
      <alignment horizontal="left" vertical="top" wrapText="1"/>
    </xf>
    <xf numFmtId="0" fontId="2" fillId="40" borderId="49" xfId="0" applyFont="1" applyFill="1" applyBorder="1" applyAlignment="1">
      <alignment horizontal="left" vertical="top" wrapText="1"/>
    </xf>
    <xf numFmtId="0" fontId="2" fillId="40" borderId="50" xfId="0" applyFont="1" applyFill="1" applyBorder="1" applyAlignment="1">
      <alignment horizontal="left" vertical="top" wrapText="1"/>
    </xf>
    <xf numFmtId="2" fontId="38" fillId="32" borderId="28" xfId="0" applyNumberFormat="1" applyFont="1" applyFill="1" applyBorder="1" applyAlignment="1">
      <alignment horizontal="left" vertical="top" wrapText="1"/>
    </xf>
    <xf numFmtId="2" fontId="38" fillId="32" borderId="33" xfId="0" applyNumberFormat="1" applyFont="1" applyFill="1" applyBorder="1" applyAlignment="1">
      <alignment horizontal="left" vertical="top" wrapText="1"/>
    </xf>
    <xf numFmtId="2" fontId="38" fillId="32" borderId="34" xfId="0" applyNumberFormat="1" applyFont="1" applyFill="1" applyBorder="1" applyAlignment="1">
      <alignment horizontal="left" vertical="top" wrapText="1"/>
    </xf>
    <xf numFmtId="2" fontId="38" fillId="32" borderId="29" xfId="0" applyNumberFormat="1" applyFont="1" applyFill="1" applyBorder="1" applyAlignment="1">
      <alignment horizontal="left" vertical="top" wrapText="1"/>
    </xf>
    <xf numFmtId="2" fontId="38" fillId="32" borderId="0" xfId="0" applyNumberFormat="1" applyFont="1" applyFill="1" applyAlignment="1">
      <alignment horizontal="left" vertical="top" wrapText="1"/>
    </xf>
    <xf numFmtId="2" fontId="38" fillId="32" borderId="36" xfId="0" applyNumberFormat="1" applyFont="1" applyFill="1" applyBorder="1" applyAlignment="1">
      <alignment horizontal="left" vertical="top" wrapText="1"/>
    </xf>
    <xf numFmtId="2" fontId="38" fillId="32" borderId="30" xfId="0" applyNumberFormat="1" applyFont="1" applyFill="1" applyBorder="1" applyAlignment="1">
      <alignment horizontal="left" vertical="top" wrapText="1"/>
    </xf>
    <xf numFmtId="2" fontId="38" fillId="32" borderId="31" xfId="0" applyNumberFormat="1" applyFont="1" applyFill="1" applyBorder="1" applyAlignment="1">
      <alignment horizontal="left" vertical="top" wrapText="1"/>
    </xf>
    <xf numFmtId="2" fontId="38" fillId="32" borderId="35" xfId="0" applyNumberFormat="1" applyFont="1" applyFill="1" applyBorder="1" applyAlignment="1">
      <alignment horizontal="left" vertical="top" wrapText="1"/>
    </xf>
    <xf numFmtId="2" fontId="38" fillId="32" borderId="0" xfId="0" applyNumberFormat="1" applyFont="1" applyFill="1" applyBorder="1" applyAlignment="1">
      <alignment horizontal="left" vertical="top" wrapText="1"/>
    </xf>
    <xf numFmtId="0" fontId="2" fillId="34" borderId="29" xfId="0" applyFont="1" applyFill="1" applyBorder="1" applyAlignment="1">
      <alignment horizontal="left" vertical="top" textRotation="180"/>
    </xf>
    <xf numFmtId="0" fontId="27" fillId="32" borderId="29" xfId="0" applyFont="1" applyFill="1" applyBorder="1" applyAlignment="1">
      <alignment horizontal="left" wrapText="1"/>
    </xf>
    <xf numFmtId="0" fontId="27" fillId="32" borderId="36" xfId="0" applyFont="1" applyFill="1" applyBorder="1" applyAlignment="1">
      <alignment horizontal="left" wrapText="1"/>
    </xf>
    <xf numFmtId="0" fontId="27" fillId="32" borderId="30" xfId="0" applyFont="1" applyFill="1" applyBorder="1" applyAlignment="1">
      <alignment horizontal="left" wrapText="1"/>
    </xf>
    <xf numFmtId="0" fontId="27" fillId="32" borderId="35" xfId="0" applyFont="1" applyFill="1" applyBorder="1" applyAlignment="1">
      <alignment horizontal="left" wrapText="1"/>
    </xf>
    <xf numFmtId="0" fontId="27" fillId="28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left" vertical="top" textRotation="180"/>
    </xf>
    <xf numFmtId="0" fontId="27" fillId="28" borderId="32" xfId="0" applyFont="1" applyFill="1" applyBorder="1" applyAlignment="1">
      <alignment horizontal="left" vertical="center"/>
    </xf>
    <xf numFmtId="0" fontId="27" fillId="28" borderId="37" xfId="0" applyFont="1" applyFill="1" applyBorder="1" applyAlignment="1">
      <alignment horizontal="left" vertical="center"/>
    </xf>
    <xf numFmtId="0" fontId="27" fillId="28" borderId="38" xfId="0" applyFont="1" applyFill="1" applyBorder="1" applyAlignment="1">
      <alignment horizontal="left" vertical="center"/>
    </xf>
    <xf numFmtId="0" fontId="6" fillId="29" borderId="21" xfId="0" applyFont="1" applyFill="1" applyBorder="1" applyAlignment="1">
      <alignment horizontal="center" vertical="center"/>
    </xf>
    <xf numFmtId="0" fontId="6" fillId="29" borderId="22" xfId="0" applyFont="1" applyFill="1" applyBorder="1" applyAlignment="1">
      <alignment horizontal="center" vertical="center"/>
    </xf>
    <xf numFmtId="0" fontId="6" fillId="29" borderId="23" xfId="0" applyFont="1" applyFill="1" applyBorder="1" applyAlignment="1">
      <alignment horizontal="center" vertical="center"/>
    </xf>
    <xf numFmtId="0" fontId="9" fillId="29" borderId="24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 wrapText="1"/>
    </xf>
    <xf numFmtId="0" fontId="9" fillId="29" borderId="25" xfId="0" applyFont="1" applyFill="1" applyBorder="1" applyAlignment="1">
      <alignment horizontal="center" vertical="center"/>
    </xf>
    <xf numFmtId="0" fontId="9" fillId="29" borderId="26" xfId="0" applyFont="1" applyFill="1" applyBorder="1" applyAlignment="1">
      <alignment horizontal="center" vertical="center"/>
    </xf>
    <xf numFmtId="0" fontId="7" fillId="29" borderId="27" xfId="0" applyFont="1" applyFill="1" applyBorder="1" applyAlignment="1">
      <alignment horizontal="center" vertical="center" wrapText="1"/>
    </xf>
    <xf numFmtId="0" fontId="7" fillId="29" borderId="25" xfId="0" applyFont="1" applyFill="1" applyBorder="1" applyAlignment="1">
      <alignment horizontal="center" vertical="center" wrapText="1"/>
    </xf>
    <xf numFmtId="0" fontId="9" fillId="29" borderId="27" xfId="0" applyFont="1" applyFill="1" applyBorder="1" applyAlignment="1">
      <alignment horizontal="center" vertical="center" wrapText="1"/>
    </xf>
    <xf numFmtId="0" fontId="9" fillId="29" borderId="26" xfId="0" applyFont="1" applyFill="1" applyBorder="1" applyAlignment="1">
      <alignment horizontal="center" vertical="center" wrapText="1"/>
    </xf>
    <xf numFmtId="0" fontId="8" fillId="29" borderId="27" xfId="0" applyFont="1" applyFill="1" applyBorder="1" applyAlignment="1">
      <alignment horizontal="center" vertical="center" wrapText="1"/>
    </xf>
    <xf numFmtId="0" fontId="8" fillId="29" borderId="25" xfId="0" applyFont="1" applyFill="1" applyBorder="1" applyAlignment="1">
      <alignment horizontal="center" vertical="center" wrapText="1"/>
    </xf>
    <xf numFmtId="0" fontId="6" fillId="28" borderId="21" xfId="0" applyFont="1" applyFill="1" applyBorder="1" applyAlignment="1">
      <alignment horizontal="center" vertical="center"/>
    </xf>
    <xf numFmtId="0" fontId="6" fillId="28" borderId="22" xfId="0" applyFont="1" applyFill="1" applyBorder="1" applyAlignment="1">
      <alignment horizontal="center" vertical="center"/>
    </xf>
    <xf numFmtId="0" fontId="6" fillId="28" borderId="23" xfId="0" applyFont="1" applyFill="1" applyBorder="1" applyAlignment="1">
      <alignment horizontal="center" vertical="center"/>
    </xf>
    <xf numFmtId="0" fontId="9" fillId="28" borderId="24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 wrapText="1"/>
    </xf>
    <xf numFmtId="0" fontId="9" fillId="28" borderId="25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/>
    </xf>
    <xf numFmtId="0" fontId="7" fillId="28" borderId="27" xfId="0" applyFont="1" applyFill="1" applyBorder="1" applyAlignment="1">
      <alignment horizontal="center" vertical="center" wrapText="1"/>
    </xf>
    <xf numFmtId="0" fontId="7" fillId="28" borderId="25" xfId="0" applyFont="1" applyFill="1" applyBorder="1" applyAlignment="1">
      <alignment horizontal="center" vertical="center" wrapText="1"/>
    </xf>
    <xf numFmtId="0" fontId="8" fillId="28" borderId="27" xfId="0" applyFont="1" applyFill="1" applyBorder="1" applyAlignment="1">
      <alignment horizontal="center" vertical="center" wrapText="1"/>
    </xf>
    <xf numFmtId="0" fontId="8" fillId="28" borderId="2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28" borderId="27" xfId="0" applyFont="1" applyFill="1" applyBorder="1" applyAlignment="1">
      <alignment horizontal="center" vertical="center" wrapText="1"/>
    </xf>
    <xf numFmtId="0" fontId="9" fillId="28" borderId="26" xfId="0" applyFont="1" applyFill="1" applyBorder="1" applyAlignment="1">
      <alignment horizontal="center" vertical="center" wrapText="1"/>
    </xf>
  </cellXfs>
  <cellStyles count="7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Ausgabe" xfId="53" builtinId="21" customBuiltin="1"/>
    <cellStyle name="Bad" xfId="54" xr:uid="{00000000-0005-0000-0000-000031000000}"/>
    <cellStyle name="Berechnung" xfId="44" builtinId="22" customBuiltin="1"/>
    <cellStyle name="Bold GHG Numbers (0.00)" xfId="43" xr:uid="{00000000-0005-0000-0000-000033000000}"/>
    <cellStyle name="Check Cell" xfId="65" xr:uid="{00000000-0005-0000-0000-000035000000}"/>
    <cellStyle name="Eingabe" xfId="48" builtinId="20" customBuiltin="1"/>
    <cellStyle name="Ergebnis" xfId="57" builtinId="25" customBuiltin="1"/>
    <cellStyle name="Erklärender Text" xfId="46" builtinId="53" customBuiltin="1"/>
    <cellStyle name="Euro" xfId="45" xr:uid="{00000000-0005-0000-0000-000039000000}"/>
    <cellStyle name="Euro 2" xfId="69" xr:uid="{E0F74355-8A5D-42AB-84A7-9BFCEC3032A0}"/>
    <cellStyle name="Good" xfId="47" xr:uid="{00000000-0005-0000-0000-00003B000000}"/>
    <cellStyle name="Heading 1" xfId="59" xr:uid="{00000000-0005-0000-0000-00003D000000}"/>
    <cellStyle name="Heading 2" xfId="60" xr:uid="{00000000-0005-0000-0000-00003E000000}"/>
    <cellStyle name="Heading 3" xfId="61" xr:uid="{00000000-0005-0000-0000-00003F000000}"/>
    <cellStyle name="Heading 4" xfId="62" xr:uid="{00000000-0005-0000-0000-000040000000}"/>
    <cellStyle name="Link" xfId="67" builtinId="8"/>
    <cellStyle name="Linked Cell" xfId="63" xr:uid="{00000000-0005-0000-0000-000042000000}"/>
    <cellStyle name="Neutral" xfId="49" builtinId="28" customBuiltin="1"/>
    <cellStyle name="Normal 2" xfId="50" xr:uid="{00000000-0005-0000-0000-000044000000}"/>
    <cellStyle name="Normalny_PL_AssumptionLPP2010_hz17.03" xfId="51" xr:uid="{00000000-0005-0000-0000-000046000000}"/>
    <cellStyle name="Note" xfId="52" xr:uid="{00000000-0005-0000-0000-000047000000}"/>
    <cellStyle name="Prozent" xfId="66" builtinId="5"/>
    <cellStyle name="Prozent 2" xfId="71" xr:uid="{ED3E6BEB-5DEB-47FF-9D54-FC47EA7B59F4}"/>
    <cellStyle name="Standard" xfId="0" builtinId="0"/>
    <cellStyle name="Standard 2" xfId="55" xr:uid="{00000000-0005-0000-0000-00004D000000}"/>
    <cellStyle name="Standard 2 2" xfId="70" xr:uid="{F3C26EB6-E410-46AB-88A3-FED802EED680}"/>
    <cellStyle name="Standard 3" xfId="68" xr:uid="{A5026D75-5770-4FA0-8B25-A39438653098}"/>
    <cellStyle name="Standard_data" xfId="56" xr:uid="{00000000-0005-0000-0000-00004E000000}"/>
    <cellStyle name="Title" xfId="58" xr:uid="{00000000-0005-0000-0000-00004F000000}"/>
    <cellStyle name="Warnender Text" xfId="64" builtinId="11" customBuiltin="1"/>
  </cellStyles>
  <dxfs count="14"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D861"/>
      <rgbColor rgb="00CCE0AF"/>
      <rgbColor rgb="000000FF"/>
      <rgbColor rgb="00D9D9D9"/>
      <rgbColor rgb="00FFE7AB"/>
      <rgbColor rgb="00EEC702"/>
      <rgbColor rgb="00FF9900"/>
      <rgbColor rgb="003EA345"/>
      <rgbColor rgb="00000080"/>
      <rgbColor rgb="00000000"/>
      <rgbColor rgb="00800080"/>
      <rgbColor rgb="00D857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FF"/>
      <rgbColor rgb="00ECF4E2"/>
      <rgbColor rgb="00FFFFFF"/>
      <rgbColor rgb="0099CCFF"/>
      <rgbColor rgb="00FFF3D7"/>
      <rgbColor rgb="00CC99FF"/>
      <rgbColor rgb="00EFF2F9"/>
      <rgbColor rgb="003366FF"/>
      <rgbColor rgb="00DE9DFF"/>
      <rgbColor rgb="00B7B8B9"/>
      <rgbColor rgb="00BDD5ED"/>
      <rgbColor rgb="0069ADDB"/>
      <rgbColor rgb="00135BA6"/>
      <rgbColor rgb="00666699"/>
      <rgbColor rgb="00969696"/>
      <rgbColor rgb="00003366"/>
      <rgbColor rgb="009CC66B"/>
      <rgbColor rgb="00FFFFFF"/>
      <rgbColor rgb="00718C00"/>
      <rgbColor rgb="00993300"/>
      <rgbColor rgb="00993366"/>
      <rgbColor rgb="00333399"/>
      <rgbColor rgb="00333333"/>
    </indexedColors>
    <mruColors>
      <color rgb="FFBDD5ED"/>
      <color rgb="FFEFF2F9"/>
      <color rgb="FF69AD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cost!$U$45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cost!$S$46:$S$48</c:f>
              <c:numCache>
                <c:formatCode>General</c:formatCode>
                <c:ptCount val="3"/>
              </c:numCache>
            </c:numRef>
          </c:cat>
          <c:val>
            <c:numRef>
              <c:f>cost!$U$46:$U$48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26A-4D6B-A4CA-35725CF9C40E}"/>
            </c:ext>
          </c:extLst>
        </c:ser>
        <c:ser>
          <c:idx val="1"/>
          <c:order val="1"/>
          <c:tx>
            <c:strRef>
              <c:f>cost!$W$45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cost!$S$46:$S$48</c:f>
              <c:numCache>
                <c:formatCode>General</c:formatCode>
                <c:ptCount val="3"/>
              </c:numCache>
            </c:numRef>
          </c:cat>
          <c:val>
            <c:numRef>
              <c:f>cost!$W$46:$W$48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26A-4D6B-A4CA-35725CF9C40E}"/>
            </c:ext>
          </c:extLst>
        </c:ser>
        <c:ser>
          <c:idx val="2"/>
          <c:order val="2"/>
          <c:tx>
            <c:strRef>
              <c:f>cost!$X$45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cost!$S$46:$S$48</c:f>
              <c:numCache>
                <c:formatCode>General</c:formatCode>
                <c:ptCount val="3"/>
              </c:numCache>
            </c:numRef>
          </c:cat>
          <c:val>
            <c:numRef>
              <c:f>cost!$X$46:$X$48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26A-4D6B-A4CA-35725CF9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74336"/>
        <c:axId val="483674664"/>
      </c:barChart>
      <c:catAx>
        <c:axId val="4836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4664"/>
        <c:crosses val="autoZero"/>
        <c:auto val="1"/>
        <c:lblAlgn val="ctr"/>
        <c:lblOffset val="100"/>
        <c:noMultiLvlLbl val="0"/>
      </c:catAx>
      <c:valAx>
        <c:axId val="483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CO2 intensity [t/MWht]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EMMA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lign</c:v>
              </c:pt>
              <c:pt idx="1">
                <c:v>coal</c:v>
              </c:pt>
              <c:pt idx="2">
                <c:v>CCGT</c:v>
              </c:pt>
            </c:strLit>
          </c:cat>
          <c:val>
            <c:numLit>
              <c:formatCode>General</c:formatCode>
              <c:ptCount val="3"/>
              <c:pt idx="0">
                <c:v>0.45</c:v>
              </c:pt>
              <c:pt idx="1">
                <c:v>0.32</c:v>
              </c:pt>
              <c:pt idx="2">
                <c:v>0.27</c:v>
              </c:pt>
            </c:numLit>
          </c:val>
          <c:extLst>
            <c:ext xmlns:c16="http://schemas.microsoft.com/office/drawing/2014/chart" uri="{C3380CC4-5D6E-409C-BE32-E72D297353CC}">
              <c16:uniqueId val="{00000000-DBD1-4B5F-BC99-5A36D9781EC0}"/>
            </c:ext>
          </c:extLst>
        </c:ser>
        <c:ser>
          <c:idx val="1"/>
          <c:order val="1"/>
          <c:tx>
            <c:v>UBA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lign</c:v>
              </c:pt>
              <c:pt idx="1">
                <c:v>coal</c:v>
              </c:pt>
              <c:pt idx="2">
                <c:v>CCGT</c:v>
              </c:pt>
            </c:strLit>
          </c:cat>
          <c:val>
            <c:numLit>
              <c:formatCode>General</c:formatCode>
              <c:ptCount val="3"/>
              <c:pt idx="0">
                <c:v>0.40049999999679597</c:v>
              </c:pt>
              <c:pt idx="1">
                <c:v>0.33947999999728412</c:v>
              </c:pt>
              <c:pt idx="2">
                <c:v>0.20087999999839296</c:v>
              </c:pt>
            </c:numLit>
          </c:val>
          <c:extLst>
            <c:ext xmlns:c16="http://schemas.microsoft.com/office/drawing/2014/chart" uri="{C3380CC4-5D6E-409C-BE32-E72D297353CC}">
              <c16:uniqueId val="{00000001-DBD1-4B5F-BC99-5A36D9781EC0}"/>
            </c:ext>
          </c:extLst>
        </c:ser>
        <c:ser>
          <c:idx val="2"/>
          <c:order val="2"/>
          <c:tx>
            <c:v>NEP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lign</c:v>
              </c:pt>
              <c:pt idx="1">
                <c:v>coal</c:v>
              </c:pt>
              <c:pt idx="2">
                <c:v>CCGT</c:v>
              </c:pt>
            </c:strLit>
          </c:cat>
          <c:val>
            <c:numLit>
              <c:formatCode>General</c:formatCode>
              <c:ptCount val="3"/>
              <c:pt idx="0">
                <c:v>0.40400000000000003</c:v>
              </c:pt>
              <c:pt idx="1">
                <c:v>0.33700000000000002</c:v>
              </c:pt>
              <c:pt idx="2">
                <c:v>0.20100000000000001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2-DBD1-4B5F-BC99-5A36D978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74336"/>
        <c:axId val="483674664"/>
      </c:barChart>
      <c:catAx>
        <c:axId val="4836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4664"/>
        <c:crosses val="autoZero"/>
        <c:auto val="1"/>
        <c:lblAlgn val="ctr"/>
        <c:lblOffset val="100"/>
        <c:noMultiLvlLbl val="0"/>
      </c:catAx>
      <c:valAx>
        <c:axId val="483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CO2 intensity [t/MWht]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15555555555554"/>
          <c:y val="5.7039583333333331E-2"/>
          <c:w val="0.77703888888888883"/>
          <c:h val="0.80795972222222223"/>
        </c:manualLayout>
      </c:layout>
      <c:lineChart>
        <c:grouping val="standard"/>
        <c:varyColors val="0"/>
        <c:ser>
          <c:idx val="0"/>
          <c:order val="0"/>
          <c:tx>
            <c:strRef>
              <c:f>yload!$A$11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yload!$B$22:$J$22</c:f>
              <c:strCache>
                <c:ptCount val="9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  <c:pt idx="8">
                  <c:v>'16</c:v>
                </c:pt>
              </c:strCache>
            </c:strRef>
          </c:cat>
          <c:val>
            <c:numRef>
              <c:f>yload!$B$11:$I$11</c:f>
              <c:numCache>
                <c:formatCode>0</c:formatCode>
                <c:ptCount val="8"/>
                <c:pt idx="0">
                  <c:v>493.61901949999992</c:v>
                </c:pt>
                <c:pt idx="1">
                  <c:v>479.50601949999998</c:v>
                </c:pt>
                <c:pt idx="2">
                  <c:v>506.82801949999998</c:v>
                </c:pt>
                <c:pt idx="3">
                  <c:v>473.35801950000001</c:v>
                </c:pt>
                <c:pt idx="4">
                  <c:v>490.0220195</c:v>
                </c:pt>
                <c:pt idx="5">
                  <c:v>493.50501949999995</c:v>
                </c:pt>
                <c:pt idx="6">
                  <c:v>465.36301950000001</c:v>
                </c:pt>
                <c:pt idx="7">
                  <c:v>472.17428150000001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4F5A-B68C-5852B5A20DC0}"/>
            </c:ext>
          </c:extLst>
        </c:ser>
        <c:ser>
          <c:idx val="1"/>
          <c:order val="1"/>
          <c:tx>
            <c:strRef>
              <c:f>yload!$A$13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yload!$B$22:$J$22</c:f>
              <c:strCache>
                <c:ptCount val="9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  <c:pt idx="8">
                  <c:v>'16</c:v>
                </c:pt>
              </c:strCache>
            </c:strRef>
          </c:cat>
          <c:val>
            <c:numRef>
              <c:f>yload!$B$13:$I$13</c:f>
              <c:numCache>
                <c:formatCode>0</c:formatCode>
                <c:ptCount val="8"/>
                <c:pt idx="0">
                  <c:v>573.00951199999997</c:v>
                </c:pt>
                <c:pt idx="1">
                  <c:v>538.41751199999999</c:v>
                </c:pt>
                <c:pt idx="2">
                  <c:v>572.01651199999992</c:v>
                </c:pt>
                <c:pt idx="3">
                  <c:v>565.29651200000001</c:v>
                </c:pt>
                <c:pt idx="4">
                  <c:v>564.34451200000001</c:v>
                </c:pt>
                <c:pt idx="5">
                  <c:v>556.65251199999989</c:v>
                </c:pt>
                <c:pt idx="6">
                  <c:v>537.99351200000001</c:v>
                </c:pt>
                <c:pt idx="7">
                  <c:v>555.75856799999997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F5A-B68C-5852B5A2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68832"/>
        <c:axId val="1085469376"/>
      </c:lineChart>
      <c:catAx>
        <c:axId val="10854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69376"/>
        <c:crosses val="autoZero"/>
        <c:auto val="1"/>
        <c:lblAlgn val="ctr"/>
        <c:lblOffset val="100"/>
        <c:tickLblSkip val="1"/>
        <c:noMultiLvlLbl val="0"/>
      </c:catAx>
      <c:valAx>
        <c:axId val="1085469376"/>
        <c:scaling>
          <c:orientation val="minMax"/>
          <c:max val="585"/>
          <c:min val="46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174190972222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688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54250000000002"/>
          <c:y val="0.47040520833333332"/>
          <c:w val="0.18206861111111111"/>
          <c:h val="0.1297451388888888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90555555555555"/>
          <c:y val="5.7039583333333331E-2"/>
          <c:w val="0.74528888888888889"/>
          <c:h val="0.80795972222222223"/>
        </c:manualLayout>
      </c:layout>
      <c:lineChart>
        <c:grouping val="standard"/>
        <c:varyColors val="0"/>
        <c:ser>
          <c:idx val="0"/>
          <c:order val="0"/>
          <c:tx>
            <c:strRef>
              <c:f>yload!$A$21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yload!$B$22:$I$22</c:f>
              <c:strCache>
                <c:ptCount val="8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</c:strCache>
            </c:strRef>
          </c:cat>
          <c:val>
            <c:numRef>
              <c:f>yload!$B$21:$I$21</c:f>
              <c:numCache>
                <c:formatCode>0</c:formatCode>
                <c:ptCount val="8"/>
                <c:pt idx="0">
                  <c:v>1687.27431675</c:v>
                </c:pt>
                <c:pt idx="1">
                  <c:v>1609.9073167500001</c:v>
                </c:pt>
                <c:pt idx="2">
                  <c:v>1704.5863167499997</c:v>
                </c:pt>
                <c:pt idx="3">
                  <c:v>1649.9613167500004</c:v>
                </c:pt>
                <c:pt idx="4">
                  <c:v>1673.9703167499999</c:v>
                </c:pt>
                <c:pt idx="5">
                  <c:v>1665.2383167499997</c:v>
                </c:pt>
                <c:pt idx="6">
                  <c:v>1609.1493167500003</c:v>
                </c:pt>
                <c:pt idx="7">
                  <c:v>1643.9535497499999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8-473D-8E35-B00CE99F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72096"/>
        <c:axId val="894471904"/>
      </c:lineChart>
      <c:catAx>
        <c:axId val="10854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1904"/>
        <c:crosses val="autoZero"/>
        <c:auto val="1"/>
        <c:lblAlgn val="ctr"/>
        <c:lblOffset val="100"/>
        <c:tickLblSkip val="1"/>
        <c:noMultiLvlLbl val="0"/>
      </c:catAx>
      <c:valAx>
        <c:axId val="894471904"/>
        <c:scaling>
          <c:orientation val="minMax"/>
          <c:max val="1725"/>
          <c:min val="16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43877430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720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90555555555555"/>
          <c:y val="5.7039583333333331E-2"/>
          <c:w val="0.74528888888888889"/>
          <c:h val="0.80795972222222223"/>
        </c:manualLayout>
      </c:layout>
      <c:lineChart>
        <c:grouping val="standard"/>
        <c:varyColors val="0"/>
        <c:ser>
          <c:idx val="0"/>
          <c:order val="0"/>
          <c:tx>
            <c:strRef>
              <c:f>yload!$A$21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yload!$B$22:$I$22</c:f>
              <c:strCache>
                <c:ptCount val="8"/>
                <c:pt idx="0">
                  <c:v>'08</c:v>
                </c:pt>
                <c:pt idx="1">
                  <c:v>'09</c:v>
                </c:pt>
                <c:pt idx="2">
                  <c:v>'10</c:v>
                </c:pt>
                <c:pt idx="3">
                  <c:v>'11</c:v>
                </c:pt>
                <c:pt idx="4">
                  <c:v>'12</c:v>
                </c:pt>
                <c:pt idx="5">
                  <c:v>'13</c:v>
                </c:pt>
                <c:pt idx="6">
                  <c:v>'14</c:v>
                </c:pt>
                <c:pt idx="7">
                  <c:v>'15</c:v>
                </c:pt>
              </c:strCache>
            </c:strRef>
          </c:cat>
          <c:val>
            <c:numRef>
              <c:f>yload!$B$20:$I$20</c:f>
              <c:numCache>
                <c:formatCode>0</c:formatCode>
                <c:ptCount val="8"/>
                <c:pt idx="0">
                  <c:v>3077.8933590000001</c:v>
                </c:pt>
                <c:pt idx="1">
                  <c:v>2928.6373590000003</c:v>
                </c:pt>
                <c:pt idx="2">
                  <c:v>3056.6573589999998</c:v>
                </c:pt>
                <c:pt idx="3">
                  <c:v>2982.6783589999995</c:v>
                </c:pt>
                <c:pt idx="4">
                  <c:v>3002.3183590000008</c:v>
                </c:pt>
                <c:pt idx="5">
                  <c:v>2967.1123589999997</c:v>
                </c:pt>
                <c:pt idx="6">
                  <c:v>2878.7663589999997</c:v>
                </c:pt>
                <c:pt idx="7">
                  <c:v>2932.6916340000002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01F-B6CB-7C93B621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75168"/>
        <c:axId val="894481696"/>
      </c:lineChart>
      <c:catAx>
        <c:axId val="8944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1696"/>
        <c:crosses val="autoZero"/>
        <c:auto val="1"/>
        <c:lblAlgn val="ctr"/>
        <c:lblOffset val="100"/>
        <c:tickLblSkip val="1"/>
        <c:noMultiLvlLbl val="0"/>
      </c:catAx>
      <c:valAx>
        <c:axId val="894481696"/>
        <c:scaling>
          <c:orientation val="minMax"/>
          <c:max val="2999"/>
          <c:min val="27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"/>
              <c:y val="0.343877430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51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monthly!$G$3:$G$14</c:f>
              <c:numCache>
                <c:formatCode>0.00</c:formatCode>
                <c:ptCount val="12"/>
                <c:pt idx="0">
                  <c:v>3.5410764872521247E-2</c:v>
                </c:pt>
                <c:pt idx="1">
                  <c:v>2.6912181303116147E-2</c:v>
                </c:pt>
                <c:pt idx="2">
                  <c:v>1.8413597733711051E-2</c:v>
                </c:pt>
                <c:pt idx="3">
                  <c:v>7.2237960339943341E-2</c:v>
                </c:pt>
                <c:pt idx="4">
                  <c:v>0.21671388101983005</c:v>
                </c:pt>
                <c:pt idx="5">
                  <c:v>0.17988668555240794</c:v>
                </c:pt>
                <c:pt idx="6">
                  <c:v>0.10764872521246459</c:v>
                </c:pt>
                <c:pt idx="7">
                  <c:v>9.0651558073654409E-2</c:v>
                </c:pt>
                <c:pt idx="8">
                  <c:v>9.0651558073654409E-2</c:v>
                </c:pt>
                <c:pt idx="9">
                  <c:v>7.2237960339943341E-2</c:v>
                </c:pt>
                <c:pt idx="10">
                  <c:v>5.3824362606232294E-2</c:v>
                </c:pt>
                <c:pt idx="11">
                  <c:v>3.5410764872521247E-2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4-42D0-94BF-1C9008CE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77344"/>
        <c:axId val="894483872"/>
      </c:lineChart>
      <c:catAx>
        <c:axId val="8944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3872"/>
        <c:crosses val="autoZero"/>
        <c:auto val="1"/>
        <c:lblAlgn val="ctr"/>
        <c:lblOffset val="100"/>
        <c:noMultiLvlLbl val="0"/>
      </c:catAx>
      <c:valAx>
        <c:axId val="894483872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 reservoir inflow</a:t>
                </a:r>
              </a:p>
            </c:rich>
          </c:tx>
          <c:layout>
            <c:manualLayout>
              <c:xMode val="edge"/>
              <c:yMode val="edge"/>
              <c:x val="0"/>
              <c:y val="0.18815902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monthly!$H$3:$H$14</c:f>
              <c:numCache>
                <c:formatCode>0.00</c:formatCode>
                <c:ptCount val="12"/>
                <c:pt idx="0">
                  <c:v>6.8181818181818177E-2</c:v>
                </c:pt>
                <c:pt idx="1">
                  <c:v>5.578512396694215E-2</c:v>
                </c:pt>
                <c:pt idx="2">
                  <c:v>6.1983471074380167E-2</c:v>
                </c:pt>
                <c:pt idx="3">
                  <c:v>7.43801652892562E-2</c:v>
                </c:pt>
                <c:pt idx="4">
                  <c:v>0.11363636363636363</c:v>
                </c:pt>
                <c:pt idx="5">
                  <c:v>0.1115702479338843</c:v>
                </c:pt>
                <c:pt idx="6">
                  <c:v>0.11983471074380166</c:v>
                </c:pt>
                <c:pt idx="7">
                  <c:v>0.10330578512396695</c:v>
                </c:pt>
                <c:pt idx="8">
                  <c:v>8.8842975206611566E-2</c:v>
                </c:pt>
                <c:pt idx="9">
                  <c:v>7.6446280991735532E-2</c:v>
                </c:pt>
                <c:pt idx="10">
                  <c:v>6.8181818181818177E-2</c:v>
                </c:pt>
                <c:pt idx="11">
                  <c:v>5.7851239669421489E-2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B-4DE9-B5D3-B0E2DD62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82240"/>
        <c:axId val="894482784"/>
      </c:lineChart>
      <c:catAx>
        <c:axId val="894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2784"/>
        <c:crosses val="autoZero"/>
        <c:auto val="1"/>
        <c:lblAlgn val="ctr"/>
        <c:lblOffset val="100"/>
        <c:noMultiLvlLbl val="0"/>
      </c:catAx>
      <c:valAx>
        <c:axId val="894482784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ROR generation</a:t>
                </a:r>
              </a:p>
            </c:rich>
          </c:tx>
          <c:layout>
            <c:manualLayout>
              <c:xMode val="edge"/>
              <c:yMode val="edge"/>
              <c:x val="0"/>
              <c:y val="0.27635347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829234</xdr:colOff>
      <xdr:row>48</xdr:row>
      <xdr:rowOff>145676</xdr:rowOff>
    </xdr:from>
    <xdr:to>
      <xdr:col>25</xdr:col>
      <xdr:colOff>745190</xdr:colOff>
      <xdr:row>59</xdr:row>
      <xdr:rowOff>32495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E170AD-AD37-4509-86FE-7A028A0FE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829234</xdr:colOff>
      <xdr:row>31</xdr:row>
      <xdr:rowOff>145676</xdr:rowOff>
    </xdr:from>
    <xdr:to>
      <xdr:col>25</xdr:col>
      <xdr:colOff>745190</xdr:colOff>
      <xdr:row>42</xdr:row>
      <xdr:rowOff>32495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84913470-63E1-417C-8F39-860B1146E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400050</xdr:colOff>
      <xdr:row>2</xdr:row>
      <xdr:rowOff>66675</xdr:rowOff>
    </xdr:from>
    <xdr:to>
      <xdr:col>33</xdr:col>
      <xdr:colOff>190050</xdr:colOff>
      <xdr:row>21</xdr:row>
      <xdr:rowOff>98700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371475</xdr:colOff>
      <xdr:row>2</xdr:row>
      <xdr:rowOff>76200</xdr:rowOff>
    </xdr:from>
    <xdr:to>
      <xdr:col>38</xdr:col>
      <xdr:colOff>161475</xdr:colOff>
      <xdr:row>21</xdr:row>
      <xdr:rowOff>108225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314325</xdr:colOff>
      <xdr:row>2</xdr:row>
      <xdr:rowOff>104775</xdr:rowOff>
    </xdr:from>
    <xdr:to>
      <xdr:col>43</xdr:col>
      <xdr:colOff>104325</xdr:colOff>
      <xdr:row>21</xdr:row>
      <xdr:rowOff>136800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18</xdr:row>
      <xdr:rowOff>38100</xdr:rowOff>
    </xdr:from>
    <xdr:to>
      <xdr:col>5</xdr:col>
      <xdr:colOff>399600</xdr:colOff>
      <xdr:row>36</xdr:row>
      <xdr:rowOff>3450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18</xdr:row>
      <xdr:rowOff>9525</xdr:rowOff>
    </xdr:from>
    <xdr:to>
      <xdr:col>9</xdr:col>
      <xdr:colOff>675825</xdr:colOff>
      <xdr:row>35</xdr:row>
      <xdr:rowOff>136800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netzentwicklungsplan.de/sites/default/files/paragraphs-files/NEP_2030_V2019_1_Entwurf_Zahlen-Daten-Fakt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B1:CW49"/>
  <sheetViews>
    <sheetView zoomScale="70" zoomScaleNormal="70" workbookViewId="0">
      <pane xSplit="3" ySplit="3" topLeftCell="AF4" activePane="bottomRight" state="frozen"/>
      <selection pane="topRight" activeCell="D1" sqref="D1"/>
      <selection pane="bottomLeft" activeCell="A4" sqref="A4"/>
      <selection pane="bottomRight" activeCell="AS4" sqref="AS4"/>
    </sheetView>
  </sheetViews>
  <sheetFormatPr baseColWidth="10" defaultColWidth="11.26953125" defaultRowHeight="14.5" x14ac:dyDescent="0.35"/>
  <cols>
    <col min="1" max="1" width="1.54296875" style="84" customWidth="1"/>
    <col min="2" max="2" width="11.26953125" style="84"/>
    <col min="3" max="3" width="13" style="84" customWidth="1"/>
    <col min="4" max="8" width="7.7265625" style="84" customWidth="1"/>
    <col min="9" max="9" width="14.7265625" style="84" customWidth="1"/>
    <col min="10" max="14" width="7.7265625" style="84" customWidth="1"/>
    <col min="15" max="15" width="14.7265625" style="84" customWidth="1"/>
    <col min="16" max="25" width="7.7265625" style="84" customWidth="1"/>
    <col min="26" max="27" width="14.7265625" style="84" customWidth="1"/>
    <col min="28" max="32" width="7.7265625" style="84" customWidth="1"/>
    <col min="33" max="38" width="14.7265625" style="84" customWidth="1"/>
    <col min="39" max="43" width="1.54296875" style="84" customWidth="1"/>
    <col min="44" max="44" width="18.54296875" style="84" bestFit="1" customWidth="1"/>
    <col min="45" max="45" width="10" style="84" bestFit="1" customWidth="1"/>
    <col min="46" max="47" width="8.54296875" style="84" customWidth="1"/>
    <col min="48" max="48" width="18.54296875" style="84" bestFit="1" customWidth="1"/>
    <col min="49" max="49" width="18.54296875" style="84" customWidth="1"/>
    <col min="50" max="50" width="15.26953125" style="84" bestFit="1" customWidth="1"/>
    <col min="51" max="52" width="11" style="84" customWidth="1"/>
    <col min="53" max="53" width="20.26953125" style="84" bestFit="1" customWidth="1"/>
    <col min="54" max="54" width="16.54296875" style="84" customWidth="1"/>
    <col min="55" max="55" width="19.26953125" style="84" customWidth="1"/>
    <col min="56" max="56" width="11.54296875" style="84" bestFit="1" customWidth="1"/>
    <col min="57" max="57" width="1.54296875" style="84" customWidth="1"/>
    <col min="58" max="58" width="9.26953125" style="84" bestFit="1" customWidth="1"/>
    <col min="59" max="59" width="9.26953125" style="84" customWidth="1"/>
    <col min="60" max="60" width="8.54296875" style="84" customWidth="1"/>
    <col min="61" max="61" width="7.54296875" style="84" customWidth="1"/>
    <col min="62" max="68" width="6.26953125" style="84" customWidth="1"/>
    <col min="69" max="69" width="6.7265625" style="84" customWidth="1"/>
    <col min="70" max="79" width="6.26953125" style="84" customWidth="1"/>
    <col min="80" max="80" width="9.26953125" style="84" bestFit="1" customWidth="1"/>
    <col min="81" max="81" width="7.54296875" style="84" bestFit="1" customWidth="1"/>
    <col min="82" max="82" width="6" style="84" bestFit="1" customWidth="1"/>
    <col min="83" max="99" width="5" style="84" bestFit="1" customWidth="1"/>
    <col min="100" max="16384" width="11.26953125" style="84"/>
  </cols>
  <sheetData>
    <row r="1" spans="2:100" s="80" customFormat="1" ht="56.25" customHeight="1" x14ac:dyDescent="0.25">
      <c r="B1" s="325"/>
      <c r="C1" s="326"/>
      <c r="D1" s="510" t="s">
        <v>288</v>
      </c>
      <c r="E1" s="511"/>
      <c r="F1" s="511"/>
      <c r="G1" s="512"/>
      <c r="H1" s="506"/>
      <c r="I1" s="326" t="s">
        <v>272</v>
      </c>
      <c r="J1" s="510" t="s">
        <v>289</v>
      </c>
      <c r="K1" s="511"/>
      <c r="L1" s="511"/>
      <c r="M1" s="512"/>
      <c r="N1" s="506"/>
      <c r="O1" s="326" t="s">
        <v>273</v>
      </c>
      <c r="P1" s="510" t="s">
        <v>274</v>
      </c>
      <c r="Q1" s="511"/>
      <c r="R1" s="511"/>
      <c r="S1" s="512"/>
      <c r="T1" s="505"/>
      <c r="U1" s="510" t="s">
        <v>275</v>
      </c>
      <c r="V1" s="511"/>
      <c r="W1" s="511"/>
      <c r="X1" s="512"/>
      <c r="Y1" s="506"/>
      <c r="Z1" s="326" t="s">
        <v>276</v>
      </c>
      <c r="AA1" s="326" t="s">
        <v>277</v>
      </c>
      <c r="AB1" s="510" t="s">
        <v>278</v>
      </c>
      <c r="AC1" s="511"/>
      <c r="AD1" s="511"/>
      <c r="AE1" s="512"/>
      <c r="AF1" s="506"/>
      <c r="AG1" s="326" t="s">
        <v>294</v>
      </c>
      <c r="AH1" s="326" t="s">
        <v>279</v>
      </c>
      <c r="AI1" s="326" t="s">
        <v>280</v>
      </c>
      <c r="AJ1" s="326" t="s">
        <v>281</v>
      </c>
      <c r="AK1" s="326" t="s">
        <v>282</v>
      </c>
      <c r="AL1" s="327" t="s">
        <v>283</v>
      </c>
      <c r="AP1" s="81"/>
      <c r="AQ1" s="81"/>
      <c r="AR1" s="152" t="s">
        <v>221</v>
      </c>
      <c r="AS1" s="152" t="s">
        <v>190</v>
      </c>
      <c r="AT1" s="152" t="s">
        <v>153</v>
      </c>
      <c r="AU1" s="152" t="s">
        <v>225</v>
      </c>
      <c r="AV1" s="152" t="s">
        <v>233</v>
      </c>
      <c r="AW1" s="152" t="s">
        <v>234</v>
      </c>
      <c r="AX1" s="152" t="s">
        <v>128</v>
      </c>
      <c r="AY1" s="152" t="s">
        <v>198</v>
      </c>
      <c r="AZ1" s="152" t="s">
        <v>200</v>
      </c>
      <c r="BA1" s="152" t="s">
        <v>154</v>
      </c>
      <c r="BB1" s="152" t="s">
        <v>155</v>
      </c>
      <c r="BC1" s="152" t="s">
        <v>57</v>
      </c>
      <c r="BD1" s="155" t="s">
        <v>202</v>
      </c>
      <c r="BF1" s="103" t="s">
        <v>119</v>
      </c>
      <c r="BG1" s="235" t="s">
        <v>201</v>
      </c>
      <c r="BH1" s="104">
        <v>1</v>
      </c>
      <c r="BI1" s="104">
        <v>25</v>
      </c>
      <c r="BJ1" s="104">
        <v>100</v>
      </c>
      <c r="BK1" s="104">
        <v>500</v>
      </c>
      <c r="BL1" s="104">
        <v>1000</v>
      </c>
      <c r="BM1" s="104">
        <v>1500</v>
      </c>
      <c r="BN1" s="104">
        <v>2000</v>
      </c>
      <c r="BO1" s="104">
        <v>2500</v>
      </c>
      <c r="BP1" s="104">
        <v>3000</v>
      </c>
      <c r="BQ1" s="104">
        <v>3500</v>
      </c>
      <c r="BR1" s="104">
        <v>4000</v>
      </c>
      <c r="BS1" s="104">
        <v>4500</v>
      </c>
      <c r="BT1" s="104">
        <v>5000</v>
      </c>
      <c r="BU1" s="104">
        <v>5500</v>
      </c>
      <c r="BV1" s="104">
        <v>6000</v>
      </c>
      <c r="BW1" s="104">
        <v>6500</v>
      </c>
      <c r="BX1" s="104">
        <v>7000</v>
      </c>
      <c r="BY1" s="104">
        <v>7500</v>
      </c>
      <c r="BZ1" s="104">
        <v>8000</v>
      </c>
      <c r="CA1" s="105">
        <v>8760</v>
      </c>
      <c r="CV1" s="82"/>
    </row>
    <row r="2" spans="2:100" s="80" customFormat="1" ht="18.75" customHeight="1" x14ac:dyDescent="0.25">
      <c r="B2" s="328" t="s">
        <v>284</v>
      </c>
      <c r="C2" s="329"/>
      <c r="D2" s="330">
        <v>2016</v>
      </c>
      <c r="E2" s="330">
        <f>D2+14</f>
        <v>2030</v>
      </c>
      <c r="F2" s="330">
        <v>2040</v>
      </c>
      <c r="G2" s="331">
        <v>2050</v>
      </c>
      <c r="H2" s="331" t="s">
        <v>199</v>
      </c>
      <c r="I2" s="332" t="s">
        <v>285</v>
      </c>
      <c r="J2" s="330">
        <v>2016</v>
      </c>
      <c r="K2" s="330">
        <f>J2+14</f>
        <v>2030</v>
      </c>
      <c r="L2" s="330">
        <v>2040</v>
      </c>
      <c r="M2" s="331">
        <v>2050</v>
      </c>
      <c r="N2" s="331" t="s">
        <v>199</v>
      </c>
      <c r="O2" s="332" t="s">
        <v>285</v>
      </c>
      <c r="P2" s="330">
        <v>2016</v>
      </c>
      <c r="Q2" s="330">
        <f>P2+14</f>
        <v>2030</v>
      </c>
      <c r="R2" s="330">
        <v>2040</v>
      </c>
      <c r="S2" s="331">
        <v>2050</v>
      </c>
      <c r="T2" s="330" t="s">
        <v>199</v>
      </c>
      <c r="U2" s="330">
        <v>2016</v>
      </c>
      <c r="V2" s="330">
        <f>U2+14</f>
        <v>2030</v>
      </c>
      <c r="W2" s="330">
        <v>2040</v>
      </c>
      <c r="X2" s="331">
        <v>2050</v>
      </c>
      <c r="Y2" s="331" t="s">
        <v>199</v>
      </c>
      <c r="Z2" s="332" t="s">
        <v>285</v>
      </c>
      <c r="AA2" s="332" t="s">
        <v>285</v>
      </c>
      <c r="AB2" s="330">
        <v>2016</v>
      </c>
      <c r="AC2" s="330">
        <f>AB2+14</f>
        <v>2030</v>
      </c>
      <c r="AD2" s="330">
        <v>2040</v>
      </c>
      <c r="AE2" s="331">
        <v>2050</v>
      </c>
      <c r="AF2" s="331" t="s">
        <v>199</v>
      </c>
      <c r="AG2" s="332" t="s">
        <v>285</v>
      </c>
      <c r="AH2" s="332" t="s">
        <v>285</v>
      </c>
      <c r="AI2" s="332" t="s">
        <v>285</v>
      </c>
      <c r="AJ2" s="332" t="s">
        <v>285</v>
      </c>
      <c r="AK2" s="332" t="s">
        <v>285</v>
      </c>
      <c r="AL2" s="332" t="s">
        <v>285</v>
      </c>
      <c r="AP2" s="95"/>
      <c r="AQ2" s="95"/>
      <c r="AR2" s="157"/>
      <c r="AS2" s="157"/>
      <c r="AT2" s="157"/>
      <c r="AU2" s="157"/>
      <c r="AV2" s="157"/>
      <c r="AW2" s="157"/>
      <c r="AX2" s="158"/>
      <c r="AY2" s="158"/>
      <c r="AZ2" s="158"/>
      <c r="BA2" s="158" t="s">
        <v>129</v>
      </c>
      <c r="BB2" s="157"/>
      <c r="BC2" s="157"/>
      <c r="BD2" s="159"/>
      <c r="BF2" s="106"/>
      <c r="BG2" s="107"/>
      <c r="BH2" s="116" t="s">
        <v>121</v>
      </c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8"/>
      <c r="CV2" s="82"/>
    </row>
    <row r="3" spans="2:100" s="80" customFormat="1" ht="18.75" customHeight="1" x14ac:dyDescent="0.25">
      <c r="B3" s="328" t="s">
        <v>286</v>
      </c>
      <c r="C3" s="334"/>
      <c r="D3" s="330" t="s">
        <v>58</v>
      </c>
      <c r="E3" s="330" t="str">
        <f>D3</f>
        <v>invest</v>
      </c>
      <c r="F3" s="330" t="s">
        <v>58</v>
      </c>
      <c r="G3" s="331" t="s">
        <v>58</v>
      </c>
      <c r="H3" s="331" t="s">
        <v>58</v>
      </c>
      <c r="I3" s="332" t="s">
        <v>247</v>
      </c>
      <c r="J3" s="333" t="s">
        <v>189</v>
      </c>
      <c r="K3" s="330" t="str">
        <f>J3</f>
        <v>energy</v>
      </c>
      <c r="L3" s="330" t="s">
        <v>189</v>
      </c>
      <c r="M3" s="331" t="s">
        <v>189</v>
      </c>
      <c r="N3" s="331" t="s">
        <v>189</v>
      </c>
      <c r="O3" s="332" t="s">
        <v>130</v>
      </c>
      <c r="P3" s="333" t="s">
        <v>60</v>
      </c>
      <c r="Q3" s="330" t="str">
        <f>P3</f>
        <v>qfixcost</v>
      </c>
      <c r="R3" s="330" t="s">
        <v>60</v>
      </c>
      <c r="S3" s="331" t="s">
        <v>60</v>
      </c>
      <c r="T3" s="330" t="s">
        <v>60</v>
      </c>
      <c r="U3" s="333" t="s">
        <v>59</v>
      </c>
      <c r="V3" s="330" t="str">
        <f>U3</f>
        <v>varcost</v>
      </c>
      <c r="W3" s="330" t="s">
        <v>59</v>
      </c>
      <c r="X3" s="331" t="s">
        <v>59</v>
      </c>
      <c r="Y3" s="331" t="s">
        <v>59</v>
      </c>
      <c r="Z3" s="332" t="s">
        <v>248</v>
      </c>
      <c r="AA3" s="332" t="s">
        <v>61</v>
      </c>
      <c r="AB3" s="333" t="s">
        <v>125</v>
      </c>
      <c r="AC3" s="330" t="str">
        <f>AB3</f>
        <v>eff_new</v>
      </c>
      <c r="AD3" s="330" t="s">
        <v>125</v>
      </c>
      <c r="AE3" s="331" t="s">
        <v>125</v>
      </c>
      <c r="AF3" s="331" t="s">
        <v>125</v>
      </c>
      <c r="AG3" s="332" t="s">
        <v>293</v>
      </c>
      <c r="AH3" s="332" t="s">
        <v>15</v>
      </c>
      <c r="AI3" s="332" t="s">
        <v>244</v>
      </c>
      <c r="AJ3" s="332" t="s">
        <v>245</v>
      </c>
      <c r="AK3" s="332" t="s">
        <v>246</v>
      </c>
      <c r="AL3" s="335" t="s">
        <v>9</v>
      </c>
      <c r="AP3" s="95"/>
      <c r="AQ3" s="95"/>
      <c r="AR3" s="157"/>
      <c r="AS3" s="157"/>
      <c r="AT3" s="157"/>
      <c r="AU3" s="157"/>
      <c r="AV3" s="157"/>
      <c r="AW3" s="157"/>
      <c r="AX3" s="158"/>
      <c r="AY3" s="158"/>
      <c r="AZ3" s="158"/>
      <c r="BA3" s="158" t="s">
        <v>129</v>
      </c>
      <c r="BB3" s="157"/>
      <c r="BC3" s="157"/>
      <c r="BD3" s="159"/>
      <c r="BF3" s="106"/>
      <c r="BG3" s="107"/>
      <c r="BH3" s="116" t="s">
        <v>121</v>
      </c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8"/>
      <c r="CV3" s="82"/>
    </row>
    <row r="4" spans="2:100" x14ac:dyDescent="0.35">
      <c r="B4" s="336" t="s">
        <v>191</v>
      </c>
      <c r="C4" s="337" t="s">
        <v>51</v>
      </c>
      <c r="D4" s="489">
        <f>E4</f>
        <v>6000</v>
      </c>
      <c r="E4" s="276">
        <v>6000</v>
      </c>
      <c r="F4" s="339">
        <v>6000</v>
      </c>
      <c r="G4" s="340">
        <v>6000</v>
      </c>
      <c r="H4" s="340">
        <f>G4</f>
        <v>6000</v>
      </c>
      <c r="I4" s="341"/>
      <c r="J4" s="338"/>
      <c r="K4" s="276"/>
      <c r="L4" s="414"/>
      <c r="M4" s="340"/>
      <c r="N4" s="340"/>
      <c r="O4" s="341">
        <v>50</v>
      </c>
      <c r="P4" s="489">
        <f>Q4</f>
        <v>115</v>
      </c>
      <c r="Q4" s="276">
        <v>115</v>
      </c>
      <c r="R4" s="414">
        <v>110</v>
      </c>
      <c r="S4" s="340">
        <v>105</v>
      </c>
      <c r="T4" s="340">
        <f>S4</f>
        <v>105</v>
      </c>
      <c r="U4" s="435">
        <f>V4</f>
        <v>7</v>
      </c>
      <c r="V4" s="436">
        <v>7</v>
      </c>
      <c r="W4" s="437">
        <v>8</v>
      </c>
      <c r="X4" s="438">
        <v>8</v>
      </c>
      <c r="Y4" s="340">
        <f>X4</f>
        <v>8</v>
      </c>
      <c r="Z4" s="341"/>
      <c r="AA4" s="342">
        <v>0</v>
      </c>
      <c r="AB4" s="497">
        <f>AC4</f>
        <v>0.38</v>
      </c>
      <c r="AC4" s="311">
        <v>0.38</v>
      </c>
      <c r="AD4" s="343">
        <v>0.38</v>
      </c>
      <c r="AE4" s="344">
        <v>0.38</v>
      </c>
      <c r="AF4" s="340">
        <f>AE4</f>
        <v>0.38</v>
      </c>
      <c r="AG4" s="473">
        <v>0.8</v>
      </c>
      <c r="AH4" s="341">
        <v>10</v>
      </c>
      <c r="AI4" s="345">
        <v>50</v>
      </c>
      <c r="AJ4" s="342">
        <v>16.7</v>
      </c>
      <c r="AK4" s="346">
        <v>0.1</v>
      </c>
      <c r="AL4" s="347">
        <v>1</v>
      </c>
      <c r="AP4" s="83"/>
      <c r="AQ4" s="83"/>
      <c r="AR4" s="348">
        <v>0.33</v>
      </c>
      <c r="AS4" s="96">
        <f>VLOOKUP($C4,fuel!$A$2:$R$15,16,FALSE)</f>
        <v>3</v>
      </c>
      <c r="AT4" s="96">
        <f t="shared" ref="AT4:AT23" si="0">D4</f>
        <v>6000</v>
      </c>
      <c r="AU4" s="96"/>
      <c r="AV4" s="96">
        <f t="shared" ref="AV4:AV23" si="1">D4*((1+$D$29)^O4*$D$29)/((1+$D$29)^O4-1)</f>
        <v>328.66041291441883</v>
      </c>
      <c r="AW4" s="96"/>
      <c r="AX4" s="153">
        <f t="shared" ref="AX4:AX23" si="2">AH4*10</f>
        <v>100</v>
      </c>
      <c r="AY4" s="153">
        <f>P4+AX4</f>
        <v>215</v>
      </c>
      <c r="AZ4" s="153">
        <f>Z4</f>
        <v>0</v>
      </c>
      <c r="BA4" s="153">
        <f t="shared" ref="BA4:BA23" si="3">(AV4+AY4)*AL4+AZ4*BG4/1000</f>
        <v>543.66041291441888</v>
      </c>
      <c r="BB4" s="96" t="e">
        <f t="shared" ref="BB4:BB23" si="4">BA4/$D$30</f>
        <v>#DIV/0!</v>
      </c>
      <c r="BC4" s="96">
        <f t="shared" ref="BC4:BC23" si="5">U4+(AS4+AA4*$D$28)/AB4</f>
        <v>14.894736842105264</v>
      </c>
      <c r="BD4" s="97">
        <f t="shared" ref="BD4:BD23" si="6">BC4-AH4</f>
        <v>4.8947368421052637</v>
      </c>
      <c r="BF4" s="109" t="str">
        <f>C4</f>
        <v>nucl</v>
      </c>
      <c r="BG4" s="123"/>
      <c r="BH4" s="96" t="e">
        <f t="shared" ref="BH4:BW14" si="7">$BB4/BH$1*1000+$BD4</f>
        <v>#DIV/0!</v>
      </c>
      <c r="BI4" s="96" t="e">
        <f t="shared" si="7"/>
        <v>#DIV/0!</v>
      </c>
      <c r="BJ4" s="96" t="e">
        <f t="shared" si="7"/>
        <v>#DIV/0!</v>
      </c>
      <c r="BK4" s="96" t="e">
        <f t="shared" si="7"/>
        <v>#DIV/0!</v>
      </c>
      <c r="BL4" s="96" t="e">
        <f t="shared" si="7"/>
        <v>#DIV/0!</v>
      </c>
      <c r="BM4" s="96" t="e">
        <f t="shared" si="7"/>
        <v>#DIV/0!</v>
      </c>
      <c r="BN4" s="96" t="e">
        <f t="shared" si="7"/>
        <v>#DIV/0!</v>
      </c>
      <c r="BO4" s="96" t="e">
        <f t="shared" si="7"/>
        <v>#DIV/0!</v>
      </c>
      <c r="BP4" s="96" t="e">
        <f t="shared" si="7"/>
        <v>#DIV/0!</v>
      </c>
      <c r="BQ4" s="96" t="e">
        <f t="shared" si="7"/>
        <v>#DIV/0!</v>
      </c>
      <c r="BR4" s="96" t="e">
        <f t="shared" si="7"/>
        <v>#DIV/0!</v>
      </c>
      <c r="BS4" s="96" t="e">
        <f t="shared" si="7"/>
        <v>#DIV/0!</v>
      </c>
      <c r="BT4" s="96" t="e">
        <f t="shared" si="7"/>
        <v>#DIV/0!</v>
      </c>
      <c r="BU4" s="96" t="e">
        <f t="shared" si="7"/>
        <v>#DIV/0!</v>
      </c>
      <c r="BV4" s="96" t="e">
        <f t="shared" si="7"/>
        <v>#DIV/0!</v>
      </c>
      <c r="BW4" s="96" t="e">
        <f t="shared" si="7"/>
        <v>#DIV/0!</v>
      </c>
      <c r="BX4" s="96" t="e">
        <f t="shared" ref="BR4:CA14" si="8">$BB4/BX$1*1000+$BD4</f>
        <v>#DIV/0!</v>
      </c>
      <c r="BY4" s="96" t="e">
        <f t="shared" si="8"/>
        <v>#DIV/0!</v>
      </c>
      <c r="BZ4" s="96" t="e">
        <f t="shared" si="8"/>
        <v>#DIV/0!</v>
      </c>
      <c r="CA4" s="97" t="e">
        <f t="shared" si="8"/>
        <v>#DIV/0!</v>
      </c>
      <c r="CV4" s="85"/>
    </row>
    <row r="5" spans="2:100" x14ac:dyDescent="0.35">
      <c r="B5" s="336"/>
      <c r="C5" s="337" t="s">
        <v>52</v>
      </c>
      <c r="D5" s="490">
        <f t="shared" ref="D5:D23" si="9">E5</f>
        <v>2000</v>
      </c>
      <c r="E5" s="420">
        <v>2000</v>
      </c>
      <c r="F5" s="350">
        <v>2000</v>
      </c>
      <c r="G5" s="351">
        <v>2000</v>
      </c>
      <c r="H5" s="351">
        <f t="shared" ref="H5:H23" si="10">G5</f>
        <v>2000</v>
      </c>
      <c r="I5" s="352"/>
      <c r="J5" s="349"/>
      <c r="K5" s="420"/>
      <c r="L5" s="358"/>
      <c r="M5" s="351"/>
      <c r="N5" s="351"/>
      <c r="O5" s="352">
        <v>40</v>
      </c>
      <c r="P5" s="490">
        <f t="shared" ref="P5:P23" si="11">Q5</f>
        <v>42</v>
      </c>
      <c r="Q5" s="420">
        <v>42</v>
      </c>
      <c r="R5" s="358">
        <v>40</v>
      </c>
      <c r="S5" s="351">
        <v>39</v>
      </c>
      <c r="T5" s="351">
        <f t="shared" ref="T5:T23" si="12">S5</f>
        <v>39</v>
      </c>
      <c r="U5" s="439">
        <f t="shared" ref="U5:U21" si="13">V5</f>
        <v>4</v>
      </c>
      <c r="V5" s="440">
        <v>4</v>
      </c>
      <c r="W5" s="441">
        <v>3</v>
      </c>
      <c r="X5" s="442">
        <v>3</v>
      </c>
      <c r="Y5" s="351">
        <f t="shared" ref="Y5:Y23" si="14">X5</f>
        <v>3</v>
      </c>
      <c r="Z5" s="352"/>
      <c r="AA5" s="346">
        <v>0.4</v>
      </c>
      <c r="AB5" s="498">
        <f t="shared" ref="AB5:AB23" si="15">AC5</f>
        <v>0.42</v>
      </c>
      <c r="AC5" s="431">
        <v>0.42</v>
      </c>
      <c r="AD5" s="416">
        <v>0.43</v>
      </c>
      <c r="AE5" s="353">
        <v>0.44</v>
      </c>
      <c r="AF5" s="351">
        <f t="shared" ref="AF5:AF23" si="16">AE5</f>
        <v>0.44</v>
      </c>
      <c r="AG5" s="474">
        <v>0.85</v>
      </c>
      <c r="AH5" s="354">
        <v>6</v>
      </c>
      <c r="AI5" s="354">
        <v>77</v>
      </c>
      <c r="AJ5" s="346">
        <v>4.3000000000000007</v>
      </c>
      <c r="AK5" s="346">
        <v>0.14583333333333331</v>
      </c>
      <c r="AL5" s="355">
        <v>1</v>
      </c>
      <c r="AP5" s="88"/>
      <c r="AQ5" s="88"/>
      <c r="AR5" s="356">
        <v>0.38</v>
      </c>
      <c r="AS5" s="98">
        <f>VLOOKUP($C5,fuel!$A$2:$R$15,16,FALSE)</f>
        <v>3</v>
      </c>
      <c r="AT5" s="98">
        <f t="shared" si="0"/>
        <v>2000</v>
      </c>
      <c r="AU5" s="98"/>
      <c r="AV5" s="98">
        <f t="shared" si="1"/>
        <v>116.55632233207</v>
      </c>
      <c r="AW5" s="98"/>
      <c r="AX5" s="154">
        <f t="shared" si="2"/>
        <v>60</v>
      </c>
      <c r="AY5" s="154">
        <f>P5+AX5</f>
        <v>102</v>
      </c>
      <c r="AZ5" s="154">
        <f t="shared" ref="AZ5:AZ23" si="17">Z5</f>
        <v>0</v>
      </c>
      <c r="BA5" s="154">
        <f t="shared" si="3"/>
        <v>218.55632233207001</v>
      </c>
      <c r="BB5" s="98" t="e">
        <f t="shared" si="4"/>
        <v>#DIV/0!</v>
      </c>
      <c r="BC5" s="98">
        <f t="shared" si="5"/>
        <v>11.142857142857142</v>
      </c>
      <c r="BD5" s="99">
        <f t="shared" si="6"/>
        <v>5.1428571428571423</v>
      </c>
      <c r="BF5" s="101" t="str">
        <f>C5</f>
        <v>lign</v>
      </c>
      <c r="BG5" s="111"/>
      <c r="BH5" s="98" t="e">
        <f t="shared" si="7"/>
        <v>#DIV/0!</v>
      </c>
      <c r="BI5" s="98" t="e">
        <f t="shared" si="7"/>
        <v>#DIV/0!</v>
      </c>
      <c r="BJ5" s="98" t="e">
        <f t="shared" si="7"/>
        <v>#DIV/0!</v>
      </c>
      <c r="BK5" s="98" t="e">
        <f t="shared" si="7"/>
        <v>#DIV/0!</v>
      </c>
      <c r="BL5" s="98" t="e">
        <f t="shared" si="7"/>
        <v>#DIV/0!</v>
      </c>
      <c r="BM5" s="98" t="e">
        <f t="shared" si="7"/>
        <v>#DIV/0!</v>
      </c>
      <c r="BN5" s="98" t="e">
        <f t="shared" si="7"/>
        <v>#DIV/0!</v>
      </c>
      <c r="BO5" s="98" t="e">
        <f t="shared" si="7"/>
        <v>#DIV/0!</v>
      </c>
      <c r="BP5" s="98" t="e">
        <f t="shared" si="7"/>
        <v>#DIV/0!</v>
      </c>
      <c r="BQ5" s="98" t="e">
        <f t="shared" si="7"/>
        <v>#DIV/0!</v>
      </c>
      <c r="BR5" s="98" t="e">
        <f t="shared" si="8"/>
        <v>#DIV/0!</v>
      </c>
      <c r="BS5" s="98" t="e">
        <f t="shared" si="8"/>
        <v>#DIV/0!</v>
      </c>
      <c r="BT5" s="98" t="e">
        <f t="shared" si="8"/>
        <v>#DIV/0!</v>
      </c>
      <c r="BU5" s="98" t="e">
        <f t="shared" si="8"/>
        <v>#DIV/0!</v>
      </c>
      <c r="BV5" s="98" t="e">
        <f t="shared" si="8"/>
        <v>#DIV/0!</v>
      </c>
      <c r="BW5" s="98" t="e">
        <f t="shared" si="8"/>
        <v>#DIV/0!</v>
      </c>
      <c r="BX5" s="98" t="e">
        <f t="shared" si="8"/>
        <v>#DIV/0!</v>
      </c>
      <c r="BY5" s="98" t="e">
        <f t="shared" si="8"/>
        <v>#DIV/0!</v>
      </c>
      <c r="BZ5" s="98" t="e">
        <f t="shared" si="8"/>
        <v>#DIV/0!</v>
      </c>
      <c r="CA5" s="99" t="e">
        <f t="shared" si="8"/>
        <v>#DIV/0!</v>
      </c>
      <c r="CV5" s="85"/>
    </row>
    <row r="6" spans="2:100" x14ac:dyDescent="0.35">
      <c r="B6" s="336"/>
      <c r="C6" s="337" t="s">
        <v>53</v>
      </c>
      <c r="D6" s="490">
        <f t="shared" si="9"/>
        <v>1700</v>
      </c>
      <c r="E6" s="420">
        <v>1700</v>
      </c>
      <c r="F6" s="350">
        <v>1700</v>
      </c>
      <c r="G6" s="351">
        <v>1700</v>
      </c>
      <c r="H6" s="351">
        <f t="shared" si="10"/>
        <v>1700</v>
      </c>
      <c r="I6" s="352"/>
      <c r="J6" s="349"/>
      <c r="K6" s="420"/>
      <c r="L6" s="358"/>
      <c r="M6" s="351"/>
      <c r="N6" s="351"/>
      <c r="O6" s="352">
        <v>40</v>
      </c>
      <c r="P6" s="490">
        <f t="shared" si="11"/>
        <v>35</v>
      </c>
      <c r="Q6" s="420">
        <v>35</v>
      </c>
      <c r="R6" s="358">
        <v>32</v>
      </c>
      <c r="S6" s="351">
        <v>31</v>
      </c>
      <c r="T6" s="351">
        <f t="shared" si="12"/>
        <v>31</v>
      </c>
      <c r="U6" s="439">
        <f t="shared" si="13"/>
        <v>3.5</v>
      </c>
      <c r="V6" s="440">
        <v>3.5</v>
      </c>
      <c r="W6" s="441">
        <v>3.5</v>
      </c>
      <c r="X6" s="442">
        <v>3</v>
      </c>
      <c r="Y6" s="351">
        <f t="shared" si="14"/>
        <v>3</v>
      </c>
      <c r="Z6" s="352"/>
      <c r="AA6" s="346">
        <v>0.34</v>
      </c>
      <c r="AB6" s="498">
        <f t="shared" si="15"/>
        <v>0.46</v>
      </c>
      <c r="AC6" s="431">
        <v>0.46</v>
      </c>
      <c r="AD6" s="416">
        <v>0.47</v>
      </c>
      <c r="AE6" s="353">
        <v>0.47</v>
      </c>
      <c r="AF6" s="351">
        <f t="shared" si="16"/>
        <v>0.47</v>
      </c>
      <c r="AG6" s="474">
        <v>0.85</v>
      </c>
      <c r="AH6" s="352">
        <v>4</v>
      </c>
      <c r="AI6" s="354">
        <v>77</v>
      </c>
      <c r="AJ6" s="346">
        <v>4.3000000000000007</v>
      </c>
      <c r="AK6" s="346">
        <v>0.14583333333333331</v>
      </c>
      <c r="AL6" s="355">
        <v>1</v>
      </c>
      <c r="AP6" s="88"/>
      <c r="AQ6" s="88"/>
      <c r="AR6" s="356">
        <v>0.39</v>
      </c>
      <c r="AS6" s="98">
        <f>VLOOKUP($C6,fuel!$A$2:$R$15,16,FALSE)</f>
        <v>9.2008747325610205</v>
      </c>
      <c r="AT6" s="98">
        <f t="shared" si="0"/>
        <v>1700</v>
      </c>
      <c r="AU6" s="98"/>
      <c r="AV6" s="98">
        <f t="shared" si="1"/>
        <v>99.072873982259509</v>
      </c>
      <c r="AW6" s="98"/>
      <c r="AX6" s="154">
        <f t="shared" si="2"/>
        <v>40</v>
      </c>
      <c r="AY6" s="154">
        <f>P6+AX6</f>
        <v>75</v>
      </c>
      <c r="AZ6" s="154">
        <f t="shared" si="17"/>
        <v>0</v>
      </c>
      <c r="BA6" s="154">
        <f t="shared" si="3"/>
        <v>174.07287398225952</v>
      </c>
      <c r="BB6" s="98" t="e">
        <f t="shared" si="4"/>
        <v>#DIV/0!</v>
      </c>
      <c r="BC6" s="98">
        <f t="shared" si="5"/>
        <v>23.501901592523957</v>
      </c>
      <c r="BD6" s="99">
        <f t="shared" si="6"/>
        <v>19.501901592523957</v>
      </c>
      <c r="BF6" s="101" t="str">
        <f>C6</f>
        <v>coal</v>
      </c>
      <c r="BG6" s="111"/>
      <c r="BH6" s="98" t="e">
        <f t="shared" si="7"/>
        <v>#DIV/0!</v>
      </c>
      <c r="BI6" s="98" t="e">
        <f t="shared" si="7"/>
        <v>#DIV/0!</v>
      </c>
      <c r="BJ6" s="98" t="e">
        <f t="shared" si="7"/>
        <v>#DIV/0!</v>
      </c>
      <c r="BK6" s="98" t="e">
        <f t="shared" si="7"/>
        <v>#DIV/0!</v>
      </c>
      <c r="BL6" s="98" t="e">
        <f t="shared" si="7"/>
        <v>#DIV/0!</v>
      </c>
      <c r="BM6" s="98" t="e">
        <f t="shared" si="7"/>
        <v>#DIV/0!</v>
      </c>
      <c r="BN6" s="98" t="e">
        <f t="shared" si="7"/>
        <v>#DIV/0!</v>
      </c>
      <c r="BO6" s="98" t="e">
        <f t="shared" si="7"/>
        <v>#DIV/0!</v>
      </c>
      <c r="BP6" s="98" t="e">
        <f t="shared" si="7"/>
        <v>#DIV/0!</v>
      </c>
      <c r="BQ6" s="98" t="e">
        <f t="shared" si="7"/>
        <v>#DIV/0!</v>
      </c>
      <c r="BR6" s="98" t="e">
        <f t="shared" si="8"/>
        <v>#DIV/0!</v>
      </c>
      <c r="BS6" s="98" t="e">
        <f t="shared" si="8"/>
        <v>#DIV/0!</v>
      </c>
      <c r="BT6" s="98" t="e">
        <f t="shared" si="8"/>
        <v>#DIV/0!</v>
      </c>
      <c r="BU6" s="98" t="e">
        <f t="shared" si="8"/>
        <v>#DIV/0!</v>
      </c>
      <c r="BV6" s="98" t="e">
        <f t="shared" si="8"/>
        <v>#DIV/0!</v>
      </c>
      <c r="BW6" s="98" t="e">
        <f t="shared" si="8"/>
        <v>#DIV/0!</v>
      </c>
      <c r="BX6" s="98" t="e">
        <f t="shared" si="8"/>
        <v>#DIV/0!</v>
      </c>
      <c r="BY6" s="98" t="e">
        <f t="shared" si="8"/>
        <v>#DIV/0!</v>
      </c>
      <c r="BZ6" s="98" t="e">
        <f t="shared" si="8"/>
        <v>#DIV/0!</v>
      </c>
      <c r="CA6" s="99" t="e">
        <f t="shared" si="8"/>
        <v>#DIV/0!</v>
      </c>
      <c r="CV6" s="85"/>
    </row>
    <row r="7" spans="2:100" x14ac:dyDescent="0.35">
      <c r="B7" s="336"/>
      <c r="C7" s="337" t="s">
        <v>54</v>
      </c>
      <c r="D7" s="491">
        <f t="shared" si="9"/>
        <v>770</v>
      </c>
      <c r="E7" s="421">
        <v>770</v>
      </c>
      <c r="F7" s="350">
        <v>750</v>
      </c>
      <c r="G7" s="351">
        <v>750</v>
      </c>
      <c r="H7" s="351">
        <f t="shared" si="10"/>
        <v>750</v>
      </c>
      <c r="I7" s="352"/>
      <c r="J7" s="349"/>
      <c r="K7" s="421"/>
      <c r="L7" s="358"/>
      <c r="M7" s="351"/>
      <c r="N7" s="351"/>
      <c r="O7" s="352">
        <v>30</v>
      </c>
      <c r="P7" s="490">
        <f t="shared" si="11"/>
        <v>15</v>
      </c>
      <c r="Q7" s="421">
        <v>15</v>
      </c>
      <c r="R7" s="358">
        <v>15</v>
      </c>
      <c r="S7" s="351">
        <v>15</v>
      </c>
      <c r="T7" s="351">
        <f t="shared" si="12"/>
        <v>15</v>
      </c>
      <c r="U7" s="439">
        <f t="shared" si="13"/>
        <v>2</v>
      </c>
      <c r="V7" s="440">
        <v>2</v>
      </c>
      <c r="W7" s="441">
        <v>2</v>
      </c>
      <c r="X7" s="442">
        <v>2</v>
      </c>
      <c r="Y7" s="351">
        <f t="shared" si="14"/>
        <v>2</v>
      </c>
      <c r="Z7" s="352"/>
      <c r="AA7" s="346">
        <v>0.2</v>
      </c>
      <c r="AB7" s="498">
        <f t="shared" si="15"/>
        <v>0.61</v>
      </c>
      <c r="AC7" s="431">
        <v>0.61</v>
      </c>
      <c r="AD7" s="416">
        <v>0.62</v>
      </c>
      <c r="AE7" s="353">
        <v>0.63</v>
      </c>
      <c r="AF7" s="351">
        <f t="shared" si="16"/>
        <v>0.63</v>
      </c>
      <c r="AG7" s="474">
        <v>0.88</v>
      </c>
      <c r="AH7" s="354">
        <v>0</v>
      </c>
      <c r="AI7" s="354">
        <v>60</v>
      </c>
      <c r="AJ7" s="346">
        <v>2.8</v>
      </c>
      <c r="AK7" s="346">
        <v>0.5</v>
      </c>
      <c r="AL7" s="355">
        <v>1</v>
      </c>
      <c r="AP7" s="88"/>
      <c r="AQ7" s="88"/>
      <c r="AR7" s="356">
        <v>0.48</v>
      </c>
      <c r="AS7" s="98">
        <f>VLOOKUP($C7,fuel!$A$2:$R$15,16,FALSE)</f>
        <v>36.473581047078497</v>
      </c>
      <c r="AT7" s="98">
        <f t="shared" si="0"/>
        <v>770</v>
      </c>
      <c r="AU7" s="98"/>
      <c r="AV7" s="98">
        <f t="shared" si="1"/>
        <v>50.089605011812971</v>
      </c>
      <c r="AW7" s="98"/>
      <c r="AX7" s="154">
        <f t="shared" si="2"/>
        <v>0</v>
      </c>
      <c r="AY7" s="154">
        <f>P7+AX7</f>
        <v>15</v>
      </c>
      <c r="AZ7" s="154">
        <f t="shared" si="17"/>
        <v>0</v>
      </c>
      <c r="BA7" s="154">
        <f t="shared" si="3"/>
        <v>65.089605011812978</v>
      </c>
      <c r="BB7" s="98" t="e">
        <f t="shared" si="4"/>
        <v>#DIV/0!</v>
      </c>
      <c r="BC7" s="98">
        <f t="shared" si="5"/>
        <v>61.792755814882781</v>
      </c>
      <c r="BD7" s="99">
        <f t="shared" si="6"/>
        <v>61.792755814882781</v>
      </c>
      <c r="BF7" s="101" t="str">
        <f>C7</f>
        <v>CCGT</v>
      </c>
      <c r="BG7" s="111"/>
      <c r="BH7" s="98" t="e">
        <f t="shared" si="7"/>
        <v>#DIV/0!</v>
      </c>
      <c r="BI7" s="98" t="e">
        <f t="shared" si="7"/>
        <v>#DIV/0!</v>
      </c>
      <c r="BJ7" s="98" t="e">
        <f t="shared" si="7"/>
        <v>#DIV/0!</v>
      </c>
      <c r="BK7" s="98" t="e">
        <f t="shared" si="7"/>
        <v>#DIV/0!</v>
      </c>
      <c r="BL7" s="98" t="e">
        <f t="shared" si="7"/>
        <v>#DIV/0!</v>
      </c>
      <c r="BM7" s="98" t="e">
        <f t="shared" si="7"/>
        <v>#DIV/0!</v>
      </c>
      <c r="BN7" s="98" t="e">
        <f t="shared" si="7"/>
        <v>#DIV/0!</v>
      </c>
      <c r="BO7" s="98" t="e">
        <f t="shared" si="7"/>
        <v>#DIV/0!</v>
      </c>
      <c r="BP7" s="98" t="e">
        <f t="shared" si="7"/>
        <v>#DIV/0!</v>
      </c>
      <c r="BQ7" s="98" t="e">
        <f t="shared" si="7"/>
        <v>#DIV/0!</v>
      </c>
      <c r="BR7" s="98" t="e">
        <f t="shared" si="8"/>
        <v>#DIV/0!</v>
      </c>
      <c r="BS7" s="98" t="e">
        <f t="shared" si="8"/>
        <v>#DIV/0!</v>
      </c>
      <c r="BT7" s="98" t="e">
        <f t="shared" si="8"/>
        <v>#DIV/0!</v>
      </c>
      <c r="BU7" s="98" t="e">
        <f t="shared" si="8"/>
        <v>#DIV/0!</v>
      </c>
      <c r="BV7" s="98" t="e">
        <f t="shared" si="8"/>
        <v>#DIV/0!</v>
      </c>
      <c r="BW7" s="98" t="e">
        <f t="shared" si="8"/>
        <v>#DIV/0!</v>
      </c>
      <c r="BX7" s="98" t="e">
        <f t="shared" si="8"/>
        <v>#DIV/0!</v>
      </c>
      <c r="BY7" s="98" t="e">
        <f t="shared" si="8"/>
        <v>#DIV/0!</v>
      </c>
      <c r="BZ7" s="98" t="e">
        <f t="shared" si="8"/>
        <v>#DIV/0!</v>
      </c>
      <c r="CA7" s="99" t="e">
        <f t="shared" si="8"/>
        <v>#DIV/0!</v>
      </c>
      <c r="CV7" s="85"/>
    </row>
    <row r="8" spans="2:100" x14ac:dyDescent="0.35">
      <c r="B8" s="336"/>
      <c r="C8" s="337" t="s">
        <v>50</v>
      </c>
      <c r="D8" s="491">
        <f t="shared" si="9"/>
        <v>600</v>
      </c>
      <c r="E8" s="421">
        <v>600</v>
      </c>
      <c r="F8" s="350">
        <v>550</v>
      </c>
      <c r="G8" s="351">
        <v>550</v>
      </c>
      <c r="H8" s="351">
        <f t="shared" si="10"/>
        <v>550</v>
      </c>
      <c r="I8" s="352"/>
      <c r="J8" s="349"/>
      <c r="K8" s="421"/>
      <c r="L8" s="358"/>
      <c r="M8" s="351"/>
      <c r="N8" s="351"/>
      <c r="O8" s="352">
        <v>25</v>
      </c>
      <c r="P8" s="490">
        <f t="shared" si="11"/>
        <v>7</v>
      </c>
      <c r="Q8" s="421">
        <v>7</v>
      </c>
      <c r="R8" s="358">
        <v>7</v>
      </c>
      <c r="S8" s="351">
        <v>7</v>
      </c>
      <c r="T8" s="351">
        <f t="shared" si="12"/>
        <v>7</v>
      </c>
      <c r="U8" s="439">
        <f t="shared" si="13"/>
        <v>2</v>
      </c>
      <c r="V8" s="440">
        <v>2</v>
      </c>
      <c r="W8" s="441">
        <v>2</v>
      </c>
      <c r="X8" s="442">
        <v>2</v>
      </c>
      <c r="Y8" s="351">
        <f t="shared" si="14"/>
        <v>2</v>
      </c>
      <c r="Z8" s="352"/>
      <c r="AA8" s="346">
        <v>0.2</v>
      </c>
      <c r="AB8" s="498">
        <f t="shared" si="15"/>
        <v>0.39</v>
      </c>
      <c r="AC8" s="431">
        <v>0.39</v>
      </c>
      <c r="AD8" s="416">
        <v>0.4</v>
      </c>
      <c r="AE8" s="353">
        <v>0.4</v>
      </c>
      <c r="AF8" s="351">
        <f t="shared" si="16"/>
        <v>0.4</v>
      </c>
      <c r="AG8" s="474">
        <v>0.91</v>
      </c>
      <c r="AH8" s="354">
        <v>0</v>
      </c>
      <c r="AI8" s="354">
        <v>24</v>
      </c>
      <c r="AJ8" s="346">
        <v>0.1</v>
      </c>
      <c r="AK8" s="346">
        <v>1</v>
      </c>
      <c r="AL8" s="355">
        <v>0.7</v>
      </c>
      <c r="AP8" s="83"/>
      <c r="AQ8" s="83"/>
      <c r="AR8" s="356">
        <v>0.3</v>
      </c>
      <c r="AS8" s="98">
        <f>VLOOKUP($C8,fuel!$A$2:$R$15,16,FALSE)</f>
        <v>36.473581047078497</v>
      </c>
      <c r="AT8" s="98">
        <f t="shared" si="0"/>
        <v>600</v>
      </c>
      <c r="AU8" s="98"/>
      <c r="AV8" s="98">
        <f t="shared" si="1"/>
        <v>42.571474379537769</v>
      </c>
      <c r="AW8" s="98"/>
      <c r="AX8" s="154">
        <f t="shared" si="2"/>
        <v>0</v>
      </c>
      <c r="AY8" s="154">
        <f t="shared" ref="AY8:AY14" si="18">P8+AX8</f>
        <v>7</v>
      </c>
      <c r="AZ8" s="154">
        <f t="shared" si="17"/>
        <v>0</v>
      </c>
      <c r="BA8" s="154">
        <f t="shared" si="3"/>
        <v>34.700032065676439</v>
      </c>
      <c r="BB8" s="98" t="e">
        <f t="shared" si="4"/>
        <v>#DIV/0!</v>
      </c>
      <c r="BC8" s="98">
        <f t="shared" si="5"/>
        <v>95.522002684816655</v>
      </c>
      <c r="BD8" s="99">
        <f t="shared" si="6"/>
        <v>95.522002684816655</v>
      </c>
      <c r="BF8" s="101" t="str">
        <f>C8</f>
        <v>OCGT</v>
      </c>
      <c r="BG8" s="111"/>
      <c r="BH8" s="98" t="e">
        <f t="shared" si="7"/>
        <v>#DIV/0!</v>
      </c>
      <c r="BI8" s="98" t="e">
        <f t="shared" si="7"/>
        <v>#DIV/0!</v>
      </c>
      <c r="BJ8" s="98" t="e">
        <f t="shared" si="7"/>
        <v>#DIV/0!</v>
      </c>
      <c r="BK8" s="98" t="e">
        <f t="shared" si="7"/>
        <v>#DIV/0!</v>
      </c>
      <c r="BL8" s="98" t="e">
        <f t="shared" si="7"/>
        <v>#DIV/0!</v>
      </c>
      <c r="BM8" s="98" t="e">
        <f t="shared" si="7"/>
        <v>#DIV/0!</v>
      </c>
      <c r="BN8" s="98" t="e">
        <f t="shared" si="7"/>
        <v>#DIV/0!</v>
      </c>
      <c r="BO8" s="98" t="e">
        <f t="shared" si="7"/>
        <v>#DIV/0!</v>
      </c>
      <c r="BP8" s="98" t="e">
        <f t="shared" si="7"/>
        <v>#DIV/0!</v>
      </c>
      <c r="BQ8" s="98" t="e">
        <f t="shared" si="7"/>
        <v>#DIV/0!</v>
      </c>
      <c r="BR8" s="98" t="e">
        <f t="shared" si="8"/>
        <v>#DIV/0!</v>
      </c>
      <c r="BS8" s="98" t="e">
        <f t="shared" si="8"/>
        <v>#DIV/0!</v>
      </c>
      <c r="BT8" s="98" t="e">
        <f t="shared" si="8"/>
        <v>#DIV/0!</v>
      </c>
      <c r="BU8" s="98" t="e">
        <f t="shared" si="8"/>
        <v>#DIV/0!</v>
      </c>
      <c r="BV8" s="98" t="e">
        <f t="shared" si="8"/>
        <v>#DIV/0!</v>
      </c>
      <c r="BW8" s="98" t="e">
        <f t="shared" si="8"/>
        <v>#DIV/0!</v>
      </c>
      <c r="BX8" s="98" t="e">
        <f t="shared" si="8"/>
        <v>#DIV/0!</v>
      </c>
      <c r="BY8" s="98" t="e">
        <f t="shared" si="8"/>
        <v>#DIV/0!</v>
      </c>
      <c r="BZ8" s="98" t="e">
        <f t="shared" si="8"/>
        <v>#DIV/0!</v>
      </c>
      <c r="CA8" s="99" t="e">
        <f t="shared" si="8"/>
        <v>#DIV/0!</v>
      </c>
      <c r="CV8" s="85"/>
    </row>
    <row r="9" spans="2:100" x14ac:dyDescent="0.35">
      <c r="B9" s="336"/>
      <c r="C9" s="337" t="str">
        <f>C5&amp;"_CCS"</f>
        <v>lign_CCS</v>
      </c>
      <c r="D9" s="491">
        <f t="shared" si="9"/>
        <v>3420</v>
      </c>
      <c r="E9" s="421">
        <v>3420</v>
      </c>
      <c r="F9" s="350">
        <v>3250</v>
      </c>
      <c r="G9" s="351">
        <v>3200</v>
      </c>
      <c r="H9" s="351">
        <f t="shared" si="10"/>
        <v>3200</v>
      </c>
      <c r="I9" s="352"/>
      <c r="J9" s="357"/>
      <c r="K9" s="421"/>
      <c r="L9" s="358"/>
      <c r="M9" s="359"/>
      <c r="N9" s="359"/>
      <c r="O9" s="352">
        <f>O5</f>
        <v>40</v>
      </c>
      <c r="P9" s="491">
        <f t="shared" si="11"/>
        <v>65</v>
      </c>
      <c r="Q9" s="421">
        <v>65</v>
      </c>
      <c r="R9" s="358">
        <v>62</v>
      </c>
      <c r="S9" s="359">
        <v>61</v>
      </c>
      <c r="T9" s="351">
        <f t="shared" si="12"/>
        <v>61</v>
      </c>
      <c r="U9" s="439">
        <f t="shared" si="13"/>
        <v>6.29</v>
      </c>
      <c r="V9" s="440">
        <v>6.29</v>
      </c>
      <c r="W9" s="441">
        <v>4</v>
      </c>
      <c r="X9" s="442">
        <v>4</v>
      </c>
      <c r="Y9" s="351">
        <f t="shared" si="14"/>
        <v>4</v>
      </c>
      <c r="Z9" s="352"/>
      <c r="AA9" s="346">
        <f>AA5*0.1</f>
        <v>4.0000000000000008E-2</v>
      </c>
      <c r="AB9" s="498">
        <f t="shared" si="15"/>
        <v>0.33</v>
      </c>
      <c r="AC9" s="431">
        <v>0.33</v>
      </c>
      <c r="AD9" s="416">
        <v>0.34</v>
      </c>
      <c r="AE9" s="353">
        <v>0.35</v>
      </c>
      <c r="AF9" s="351">
        <f t="shared" si="16"/>
        <v>0.35</v>
      </c>
      <c r="AG9" s="474">
        <f>AG5</f>
        <v>0.85</v>
      </c>
      <c r="AH9" s="354">
        <f>AH5+4</f>
        <v>10</v>
      </c>
      <c r="AI9" s="354">
        <v>77</v>
      </c>
      <c r="AJ9" s="346">
        <v>4.3000000000000007</v>
      </c>
      <c r="AK9" s="346">
        <v>0.14583333333333331</v>
      </c>
      <c r="AL9" s="355">
        <f t="shared" ref="AL9:AL11" si="19">AL5</f>
        <v>1</v>
      </c>
      <c r="AP9" s="83"/>
      <c r="AQ9" s="83"/>
      <c r="AR9" s="356"/>
      <c r="AS9" s="98">
        <f>VLOOKUP($C9,fuel!$A$2:$R$15,16,FALSE)</f>
        <v>3</v>
      </c>
      <c r="AT9" s="98">
        <f t="shared" si="0"/>
        <v>3420</v>
      </c>
      <c r="AU9" s="98"/>
      <c r="AV9" s="98">
        <f t="shared" si="1"/>
        <v>199.31131118783969</v>
      </c>
      <c r="AW9" s="98"/>
      <c r="AX9" s="154">
        <f t="shared" si="2"/>
        <v>100</v>
      </c>
      <c r="AY9" s="154">
        <f t="shared" si="18"/>
        <v>165</v>
      </c>
      <c r="AZ9" s="154">
        <f t="shared" si="17"/>
        <v>0</v>
      </c>
      <c r="BA9" s="154">
        <f t="shared" si="3"/>
        <v>364.31131118783969</v>
      </c>
      <c r="BB9" s="98" t="e">
        <f t="shared" si="4"/>
        <v>#DIV/0!</v>
      </c>
      <c r="BC9" s="98">
        <f t="shared" si="5"/>
        <v>15.380909090909089</v>
      </c>
      <c r="BD9" s="99">
        <f t="shared" si="6"/>
        <v>5.3809090909090891</v>
      </c>
      <c r="BF9" s="101"/>
      <c r="BG9" s="111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9"/>
      <c r="CV9" s="85"/>
    </row>
    <row r="10" spans="2:100" x14ac:dyDescent="0.35">
      <c r="B10" s="336"/>
      <c r="C10" s="337" t="str">
        <f>C6&amp;"_CCS"</f>
        <v>coal_CCS</v>
      </c>
      <c r="D10" s="491">
        <f t="shared" si="9"/>
        <v>3350</v>
      </c>
      <c r="E10" s="421">
        <v>3350</v>
      </c>
      <c r="F10" s="350">
        <v>3250</v>
      </c>
      <c r="G10" s="351">
        <v>3150</v>
      </c>
      <c r="H10" s="351">
        <f t="shared" si="10"/>
        <v>3150</v>
      </c>
      <c r="I10" s="352"/>
      <c r="J10" s="357"/>
      <c r="K10" s="421"/>
      <c r="L10" s="358"/>
      <c r="M10" s="359"/>
      <c r="N10" s="359"/>
      <c r="O10" s="352">
        <f>O6</f>
        <v>40</v>
      </c>
      <c r="P10" s="491">
        <f t="shared" si="11"/>
        <v>66</v>
      </c>
      <c r="Q10" s="421">
        <v>66</v>
      </c>
      <c r="R10" s="358">
        <v>64</v>
      </c>
      <c r="S10" s="359">
        <v>62</v>
      </c>
      <c r="T10" s="351">
        <f t="shared" si="12"/>
        <v>62</v>
      </c>
      <c r="U10" s="439">
        <f t="shared" si="13"/>
        <v>7.4</v>
      </c>
      <c r="V10" s="440">
        <v>7.4</v>
      </c>
      <c r="W10" s="441">
        <v>7</v>
      </c>
      <c r="X10" s="442">
        <v>7</v>
      </c>
      <c r="Y10" s="351">
        <f t="shared" si="14"/>
        <v>7</v>
      </c>
      <c r="Z10" s="352"/>
      <c r="AA10" s="346">
        <f>AA6*0.1</f>
        <v>3.4000000000000002E-2</v>
      </c>
      <c r="AB10" s="498">
        <f t="shared" si="15"/>
        <v>0.38</v>
      </c>
      <c r="AC10" s="431">
        <v>0.38</v>
      </c>
      <c r="AD10" s="416">
        <v>0.38</v>
      </c>
      <c r="AE10" s="353">
        <v>0.39</v>
      </c>
      <c r="AF10" s="351">
        <f t="shared" si="16"/>
        <v>0.39</v>
      </c>
      <c r="AG10" s="474">
        <f>AG6</f>
        <v>0.85</v>
      </c>
      <c r="AH10" s="354">
        <f t="shared" ref="AH10:AH11" si="20">AH6+4</f>
        <v>8</v>
      </c>
      <c r="AI10" s="354">
        <v>77</v>
      </c>
      <c r="AJ10" s="346">
        <v>4.3000000000000007</v>
      </c>
      <c r="AK10" s="346">
        <v>0.14583333333333331</v>
      </c>
      <c r="AL10" s="355">
        <f t="shared" si="19"/>
        <v>1</v>
      </c>
      <c r="AP10" s="83"/>
      <c r="AQ10" s="83"/>
      <c r="AR10" s="356"/>
      <c r="AS10" s="98">
        <f>VLOOKUP($C10,fuel!$A$2:$R$15,16,FALSE)</f>
        <v>9.2008747325610205</v>
      </c>
      <c r="AT10" s="98">
        <f t="shared" si="0"/>
        <v>3350</v>
      </c>
      <c r="AU10" s="98"/>
      <c r="AV10" s="98">
        <f t="shared" si="1"/>
        <v>195.23183990621723</v>
      </c>
      <c r="AW10" s="98"/>
      <c r="AX10" s="154">
        <f t="shared" si="2"/>
        <v>80</v>
      </c>
      <c r="AY10" s="154">
        <f t="shared" si="18"/>
        <v>146</v>
      </c>
      <c r="AZ10" s="154">
        <f t="shared" si="17"/>
        <v>0</v>
      </c>
      <c r="BA10" s="154">
        <f t="shared" si="3"/>
        <v>341.23183990621726</v>
      </c>
      <c r="BB10" s="98" t="e">
        <f t="shared" si="4"/>
        <v>#DIV/0!</v>
      </c>
      <c r="BC10" s="98">
        <f t="shared" si="5"/>
        <v>31.612828243581632</v>
      </c>
      <c r="BD10" s="99">
        <f t="shared" si="6"/>
        <v>23.612828243581632</v>
      </c>
      <c r="BF10" s="101"/>
      <c r="BG10" s="111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9"/>
      <c r="CV10" s="85"/>
    </row>
    <row r="11" spans="2:100" x14ac:dyDescent="0.35">
      <c r="B11" s="336"/>
      <c r="C11" s="337" t="str">
        <f>C7&amp;"_CCS"</f>
        <v>CCGT_CCS</v>
      </c>
      <c r="D11" s="491">
        <f t="shared" si="9"/>
        <v>1625</v>
      </c>
      <c r="E11" s="421">
        <v>1625</v>
      </c>
      <c r="F11" s="350">
        <v>1500</v>
      </c>
      <c r="G11" s="351">
        <v>1500</v>
      </c>
      <c r="H11" s="351">
        <f t="shared" si="10"/>
        <v>1500</v>
      </c>
      <c r="I11" s="352"/>
      <c r="J11" s="357"/>
      <c r="K11" s="421"/>
      <c r="L11" s="358"/>
      <c r="M11" s="359"/>
      <c r="N11" s="359"/>
      <c r="O11" s="352">
        <f>O7</f>
        <v>30</v>
      </c>
      <c r="P11" s="491">
        <f t="shared" si="11"/>
        <v>38</v>
      </c>
      <c r="Q11" s="421">
        <v>38</v>
      </c>
      <c r="R11" s="358">
        <v>35</v>
      </c>
      <c r="S11" s="359">
        <v>34</v>
      </c>
      <c r="T11" s="351">
        <f t="shared" si="12"/>
        <v>34</v>
      </c>
      <c r="U11" s="439">
        <f t="shared" si="13"/>
        <v>2.9</v>
      </c>
      <c r="V11" s="440">
        <v>2.9</v>
      </c>
      <c r="W11" s="441">
        <v>2.8</v>
      </c>
      <c r="X11" s="442">
        <v>2.7</v>
      </c>
      <c r="Y11" s="351">
        <f t="shared" si="14"/>
        <v>2.7</v>
      </c>
      <c r="Z11" s="352"/>
      <c r="AA11" s="346">
        <f>AA7*0.1</f>
        <v>2.0000000000000004E-2</v>
      </c>
      <c r="AB11" s="498">
        <f t="shared" si="15"/>
        <v>0.46</v>
      </c>
      <c r="AC11" s="431">
        <v>0.46</v>
      </c>
      <c r="AD11" s="416">
        <v>0.49</v>
      </c>
      <c r="AE11" s="353">
        <v>0.495</v>
      </c>
      <c r="AF11" s="351">
        <f t="shared" si="16"/>
        <v>0.495</v>
      </c>
      <c r="AG11" s="474">
        <f>AG7</f>
        <v>0.88</v>
      </c>
      <c r="AH11" s="354">
        <f t="shared" si="20"/>
        <v>4</v>
      </c>
      <c r="AI11" s="354">
        <v>60</v>
      </c>
      <c r="AJ11" s="346">
        <v>2.8</v>
      </c>
      <c r="AK11" s="346">
        <v>0.5</v>
      </c>
      <c r="AL11" s="355">
        <f t="shared" si="19"/>
        <v>1</v>
      </c>
      <c r="AP11" s="83"/>
      <c r="AQ11" s="83"/>
      <c r="AR11" s="356"/>
      <c r="AS11" s="98">
        <f>VLOOKUP($C11,fuel!$A$2:$R$15,16,FALSE)</f>
        <v>36.473581047078497</v>
      </c>
      <c r="AT11" s="98">
        <f t="shared" si="0"/>
        <v>1625</v>
      </c>
      <c r="AU11" s="98"/>
      <c r="AV11" s="98">
        <f t="shared" si="1"/>
        <v>105.70858200544946</v>
      </c>
      <c r="AW11" s="98"/>
      <c r="AX11" s="154">
        <f t="shared" si="2"/>
        <v>40</v>
      </c>
      <c r="AY11" s="154">
        <f t="shared" si="18"/>
        <v>78</v>
      </c>
      <c r="AZ11" s="154">
        <f t="shared" si="17"/>
        <v>0</v>
      </c>
      <c r="BA11" s="154">
        <f t="shared" si="3"/>
        <v>183.70858200544944</v>
      </c>
      <c r="BB11" s="98" t="e">
        <f t="shared" si="4"/>
        <v>#DIV/0!</v>
      </c>
      <c r="BC11" s="98">
        <f t="shared" si="5"/>
        <v>82.190393580605431</v>
      </c>
      <c r="BD11" s="99">
        <f t="shared" si="6"/>
        <v>78.190393580605431</v>
      </c>
      <c r="BF11" s="101"/>
      <c r="BG11" s="111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9"/>
      <c r="CV11" s="85"/>
    </row>
    <row r="12" spans="2:100" x14ac:dyDescent="0.35">
      <c r="B12" s="336"/>
      <c r="C12" s="360" t="s">
        <v>265</v>
      </c>
      <c r="D12" s="491">
        <f t="shared" si="9"/>
        <v>770</v>
      </c>
      <c r="E12" s="422">
        <v>770</v>
      </c>
      <c r="F12" s="362">
        <v>750</v>
      </c>
      <c r="G12" s="363">
        <v>750</v>
      </c>
      <c r="H12" s="363">
        <f t="shared" si="10"/>
        <v>750</v>
      </c>
      <c r="I12" s="364"/>
      <c r="J12" s="361"/>
      <c r="K12" s="422"/>
      <c r="L12" s="365"/>
      <c r="M12" s="366"/>
      <c r="N12" s="366"/>
      <c r="O12" s="364">
        <v>30</v>
      </c>
      <c r="P12" s="491">
        <f t="shared" si="11"/>
        <v>15</v>
      </c>
      <c r="Q12" s="422">
        <v>15</v>
      </c>
      <c r="R12" s="365">
        <v>15</v>
      </c>
      <c r="S12" s="366">
        <v>15</v>
      </c>
      <c r="T12" s="363">
        <f t="shared" si="12"/>
        <v>15</v>
      </c>
      <c r="U12" s="443">
        <f t="shared" si="13"/>
        <v>2</v>
      </c>
      <c r="V12" s="444">
        <v>2</v>
      </c>
      <c r="W12" s="445">
        <v>2</v>
      </c>
      <c r="X12" s="446">
        <v>2</v>
      </c>
      <c r="Y12" s="363">
        <f t="shared" si="14"/>
        <v>2</v>
      </c>
      <c r="Z12" s="364"/>
      <c r="AA12" s="367">
        <v>0</v>
      </c>
      <c r="AB12" s="498">
        <f t="shared" si="15"/>
        <v>0.61</v>
      </c>
      <c r="AC12" s="432">
        <v>0.61</v>
      </c>
      <c r="AD12" s="417">
        <v>0.62</v>
      </c>
      <c r="AE12" s="368">
        <v>0.63</v>
      </c>
      <c r="AF12" s="363">
        <f t="shared" si="16"/>
        <v>0.63</v>
      </c>
      <c r="AG12" s="475">
        <f>AG7</f>
        <v>0.88</v>
      </c>
      <c r="AH12" s="369">
        <v>0</v>
      </c>
      <c r="AI12" s="369">
        <v>60</v>
      </c>
      <c r="AJ12" s="367">
        <v>2.8</v>
      </c>
      <c r="AK12" s="367">
        <v>0.5</v>
      </c>
      <c r="AL12" s="370">
        <v>1</v>
      </c>
      <c r="AP12" s="88"/>
      <c r="AQ12" s="88"/>
      <c r="AR12" s="356">
        <v>0.48</v>
      </c>
      <c r="AS12" s="98">
        <f>VLOOKUP($C12,fuel!$A$2:$R$15,16,FALSE)</f>
        <v>150</v>
      </c>
      <c r="AT12" s="98">
        <f t="shared" si="0"/>
        <v>770</v>
      </c>
      <c r="AU12" s="98"/>
      <c r="AV12" s="98">
        <f t="shared" si="1"/>
        <v>50.089605011812971</v>
      </c>
      <c r="AW12" s="98"/>
      <c r="AX12" s="154">
        <f t="shared" si="2"/>
        <v>0</v>
      </c>
      <c r="AY12" s="154">
        <f>P12+AX12</f>
        <v>15</v>
      </c>
      <c r="AZ12" s="154">
        <f t="shared" si="17"/>
        <v>0</v>
      </c>
      <c r="BA12" s="154">
        <f t="shared" si="3"/>
        <v>65.089605011812978</v>
      </c>
      <c r="BB12" s="98" t="e">
        <f t="shared" si="4"/>
        <v>#DIV/0!</v>
      </c>
      <c r="BC12" s="98">
        <f t="shared" si="5"/>
        <v>247.90163934426229</v>
      </c>
      <c r="BD12" s="99">
        <f t="shared" si="6"/>
        <v>247.90163934426229</v>
      </c>
      <c r="BF12" s="101" t="str">
        <f t="shared" ref="BF12:BF18" si="21">C12</f>
        <v>CCGT_H2</v>
      </c>
      <c r="BG12" s="111"/>
      <c r="BH12" s="98" t="e">
        <f t="shared" si="7"/>
        <v>#DIV/0!</v>
      </c>
      <c r="BI12" s="98" t="e">
        <f t="shared" si="7"/>
        <v>#DIV/0!</v>
      </c>
      <c r="BJ12" s="98" t="e">
        <f t="shared" si="7"/>
        <v>#DIV/0!</v>
      </c>
      <c r="BK12" s="98" t="e">
        <f t="shared" si="7"/>
        <v>#DIV/0!</v>
      </c>
      <c r="BL12" s="98" t="e">
        <f t="shared" si="7"/>
        <v>#DIV/0!</v>
      </c>
      <c r="BM12" s="98" t="e">
        <f t="shared" si="7"/>
        <v>#DIV/0!</v>
      </c>
      <c r="BN12" s="98" t="e">
        <f t="shared" si="7"/>
        <v>#DIV/0!</v>
      </c>
      <c r="BO12" s="98" t="e">
        <f t="shared" si="7"/>
        <v>#DIV/0!</v>
      </c>
      <c r="BP12" s="98" t="e">
        <f t="shared" si="7"/>
        <v>#DIV/0!</v>
      </c>
      <c r="BQ12" s="98" t="e">
        <f t="shared" si="7"/>
        <v>#DIV/0!</v>
      </c>
      <c r="BR12" s="98" t="e">
        <f t="shared" si="8"/>
        <v>#DIV/0!</v>
      </c>
      <c r="BS12" s="98" t="e">
        <f t="shared" si="8"/>
        <v>#DIV/0!</v>
      </c>
      <c r="BT12" s="98" t="e">
        <f t="shared" si="8"/>
        <v>#DIV/0!</v>
      </c>
      <c r="BU12" s="98" t="e">
        <f t="shared" si="8"/>
        <v>#DIV/0!</v>
      </c>
      <c r="BV12" s="98" t="e">
        <f t="shared" si="8"/>
        <v>#DIV/0!</v>
      </c>
      <c r="BW12" s="98" t="e">
        <f t="shared" si="8"/>
        <v>#DIV/0!</v>
      </c>
      <c r="BX12" s="98" t="e">
        <f t="shared" si="8"/>
        <v>#DIV/0!</v>
      </c>
      <c r="BY12" s="98" t="e">
        <f t="shared" si="8"/>
        <v>#DIV/0!</v>
      </c>
      <c r="BZ12" s="98" t="e">
        <f t="shared" si="8"/>
        <v>#DIV/0!</v>
      </c>
      <c r="CA12" s="99" t="e">
        <f t="shared" si="8"/>
        <v>#DIV/0!</v>
      </c>
      <c r="CV12" s="85"/>
    </row>
    <row r="13" spans="2:100" x14ac:dyDescent="0.35">
      <c r="B13" s="336"/>
      <c r="C13" s="360" t="s">
        <v>266</v>
      </c>
      <c r="D13" s="490">
        <f t="shared" si="9"/>
        <v>600</v>
      </c>
      <c r="E13" s="423">
        <v>600</v>
      </c>
      <c r="F13" s="362">
        <v>550</v>
      </c>
      <c r="G13" s="363">
        <v>550</v>
      </c>
      <c r="H13" s="363">
        <f t="shared" si="10"/>
        <v>550</v>
      </c>
      <c r="I13" s="364"/>
      <c r="J13" s="361"/>
      <c r="K13" s="423"/>
      <c r="L13" s="365"/>
      <c r="M13" s="366"/>
      <c r="N13" s="366"/>
      <c r="O13" s="364">
        <v>25</v>
      </c>
      <c r="P13" s="491">
        <f t="shared" si="11"/>
        <v>7</v>
      </c>
      <c r="Q13" s="423">
        <v>7</v>
      </c>
      <c r="R13" s="365">
        <v>7</v>
      </c>
      <c r="S13" s="366">
        <v>7</v>
      </c>
      <c r="T13" s="363">
        <f t="shared" si="12"/>
        <v>7</v>
      </c>
      <c r="U13" s="443">
        <f t="shared" si="13"/>
        <v>2</v>
      </c>
      <c r="V13" s="444">
        <v>2</v>
      </c>
      <c r="W13" s="445">
        <v>2</v>
      </c>
      <c r="X13" s="446">
        <v>2</v>
      </c>
      <c r="Y13" s="363">
        <f t="shared" si="14"/>
        <v>2</v>
      </c>
      <c r="Z13" s="364"/>
      <c r="AA13" s="367">
        <v>0</v>
      </c>
      <c r="AB13" s="498">
        <f t="shared" si="15"/>
        <v>0.39</v>
      </c>
      <c r="AC13" s="432">
        <v>0.39</v>
      </c>
      <c r="AD13" s="417">
        <v>0.4</v>
      </c>
      <c r="AE13" s="368">
        <v>0.4</v>
      </c>
      <c r="AF13" s="363">
        <f t="shared" si="16"/>
        <v>0.4</v>
      </c>
      <c r="AG13" s="475">
        <f>AG8</f>
        <v>0.91</v>
      </c>
      <c r="AH13" s="369">
        <v>0</v>
      </c>
      <c r="AI13" s="369">
        <v>24</v>
      </c>
      <c r="AJ13" s="367">
        <v>0.1</v>
      </c>
      <c r="AK13" s="367">
        <v>1</v>
      </c>
      <c r="AL13" s="370">
        <v>0.7</v>
      </c>
      <c r="AP13" s="83"/>
      <c r="AQ13" s="83"/>
      <c r="AR13" s="356">
        <v>0.3</v>
      </c>
      <c r="AS13" s="98">
        <f>VLOOKUP($C13,fuel!$A$2:$R$15,16,FALSE)</f>
        <v>150</v>
      </c>
      <c r="AT13" s="98">
        <f t="shared" si="0"/>
        <v>600</v>
      </c>
      <c r="AU13" s="98"/>
      <c r="AV13" s="98">
        <f t="shared" si="1"/>
        <v>42.571474379537769</v>
      </c>
      <c r="AW13" s="98"/>
      <c r="AX13" s="154">
        <f t="shared" si="2"/>
        <v>0</v>
      </c>
      <c r="AY13" s="154">
        <f t="shared" ref="AY13" si="22">P13+AX13</f>
        <v>7</v>
      </c>
      <c r="AZ13" s="154">
        <f t="shared" si="17"/>
        <v>0</v>
      </c>
      <c r="BA13" s="154">
        <f t="shared" si="3"/>
        <v>34.700032065676439</v>
      </c>
      <c r="BB13" s="98" t="e">
        <f t="shared" si="4"/>
        <v>#DIV/0!</v>
      </c>
      <c r="BC13" s="98">
        <f t="shared" si="5"/>
        <v>386.61538461538458</v>
      </c>
      <c r="BD13" s="99">
        <f t="shared" si="6"/>
        <v>386.61538461538458</v>
      </c>
      <c r="BF13" s="101" t="str">
        <f t="shared" si="21"/>
        <v>OCGT_H2</v>
      </c>
      <c r="BG13" s="111"/>
      <c r="BH13" s="98" t="e">
        <f t="shared" si="7"/>
        <v>#DIV/0!</v>
      </c>
      <c r="BI13" s="98" t="e">
        <f t="shared" si="7"/>
        <v>#DIV/0!</v>
      </c>
      <c r="BJ13" s="98" t="e">
        <f t="shared" si="7"/>
        <v>#DIV/0!</v>
      </c>
      <c r="BK13" s="98" t="e">
        <f t="shared" si="7"/>
        <v>#DIV/0!</v>
      </c>
      <c r="BL13" s="98" t="e">
        <f t="shared" si="7"/>
        <v>#DIV/0!</v>
      </c>
      <c r="BM13" s="98" t="e">
        <f t="shared" si="7"/>
        <v>#DIV/0!</v>
      </c>
      <c r="BN13" s="98" t="e">
        <f t="shared" si="7"/>
        <v>#DIV/0!</v>
      </c>
      <c r="BO13" s="98" t="e">
        <f t="shared" si="7"/>
        <v>#DIV/0!</v>
      </c>
      <c r="BP13" s="98" t="e">
        <f t="shared" si="7"/>
        <v>#DIV/0!</v>
      </c>
      <c r="BQ13" s="98" t="e">
        <f t="shared" si="7"/>
        <v>#DIV/0!</v>
      </c>
      <c r="BR13" s="98" t="e">
        <f t="shared" si="8"/>
        <v>#DIV/0!</v>
      </c>
      <c r="BS13" s="98" t="e">
        <f t="shared" si="8"/>
        <v>#DIV/0!</v>
      </c>
      <c r="BT13" s="98" t="e">
        <f t="shared" si="8"/>
        <v>#DIV/0!</v>
      </c>
      <c r="BU13" s="98" t="e">
        <f t="shared" si="8"/>
        <v>#DIV/0!</v>
      </c>
      <c r="BV13" s="98" t="e">
        <f t="shared" si="8"/>
        <v>#DIV/0!</v>
      </c>
      <c r="BW13" s="98" t="e">
        <f t="shared" si="8"/>
        <v>#DIV/0!</v>
      </c>
      <c r="BX13" s="98" t="e">
        <f t="shared" si="8"/>
        <v>#DIV/0!</v>
      </c>
      <c r="BY13" s="98" t="e">
        <f t="shared" si="8"/>
        <v>#DIV/0!</v>
      </c>
      <c r="BZ13" s="98" t="e">
        <f t="shared" si="8"/>
        <v>#DIV/0!</v>
      </c>
      <c r="CA13" s="99" t="e">
        <f t="shared" si="8"/>
        <v>#DIV/0!</v>
      </c>
      <c r="CV13" s="85"/>
    </row>
    <row r="14" spans="2:100" x14ac:dyDescent="0.35">
      <c r="B14" s="336"/>
      <c r="C14" s="337" t="s">
        <v>55</v>
      </c>
      <c r="D14" s="490">
        <f t="shared" si="9"/>
        <v>0</v>
      </c>
      <c r="E14" s="420">
        <v>0</v>
      </c>
      <c r="F14" s="350">
        <v>0</v>
      </c>
      <c r="G14" s="351">
        <v>0</v>
      </c>
      <c r="H14" s="351">
        <f t="shared" si="10"/>
        <v>0</v>
      </c>
      <c r="I14" s="352"/>
      <c r="J14" s="357"/>
      <c r="K14" s="420"/>
      <c r="L14" s="358"/>
      <c r="M14" s="359"/>
      <c r="N14" s="359"/>
      <c r="O14" s="352">
        <v>1</v>
      </c>
      <c r="P14" s="491">
        <f t="shared" si="11"/>
        <v>0</v>
      </c>
      <c r="Q14" s="420">
        <v>0</v>
      </c>
      <c r="R14" s="358">
        <v>0</v>
      </c>
      <c r="S14" s="359">
        <v>0</v>
      </c>
      <c r="T14" s="351">
        <f t="shared" si="12"/>
        <v>0</v>
      </c>
      <c r="U14" s="439">
        <f t="shared" si="13"/>
        <v>0</v>
      </c>
      <c r="V14" s="440">
        <v>0</v>
      </c>
      <c r="W14" s="441">
        <v>0</v>
      </c>
      <c r="X14" s="442">
        <v>0</v>
      </c>
      <c r="Y14" s="351">
        <f t="shared" si="14"/>
        <v>0</v>
      </c>
      <c r="Z14" s="352"/>
      <c r="AA14" s="346"/>
      <c r="AB14" s="498">
        <f t="shared" si="15"/>
        <v>1</v>
      </c>
      <c r="AC14" s="431">
        <v>1</v>
      </c>
      <c r="AD14" s="416">
        <v>1</v>
      </c>
      <c r="AE14" s="353">
        <v>1</v>
      </c>
      <c r="AF14" s="351">
        <f t="shared" si="16"/>
        <v>1</v>
      </c>
      <c r="AG14" s="474">
        <v>1</v>
      </c>
      <c r="AH14" s="354">
        <v>0</v>
      </c>
      <c r="AI14" s="354">
        <v>0</v>
      </c>
      <c r="AJ14" s="346">
        <v>0</v>
      </c>
      <c r="AK14" s="346">
        <v>1</v>
      </c>
      <c r="AL14" s="355">
        <v>1</v>
      </c>
      <c r="AP14" s="88"/>
      <c r="AQ14" s="88"/>
      <c r="AR14" s="356">
        <v>1</v>
      </c>
      <c r="AS14" s="98">
        <f>VLOOKUP($C14,fuel!$A$2:$R$15,16,FALSE)</f>
        <v>1000</v>
      </c>
      <c r="AT14" s="98">
        <f t="shared" si="0"/>
        <v>0</v>
      </c>
      <c r="AU14" s="98"/>
      <c r="AV14" s="98">
        <f t="shared" si="1"/>
        <v>0</v>
      </c>
      <c r="AW14" s="98"/>
      <c r="AX14" s="154">
        <f t="shared" si="2"/>
        <v>0</v>
      </c>
      <c r="AY14" s="154">
        <f t="shared" si="18"/>
        <v>0</v>
      </c>
      <c r="AZ14" s="154">
        <f t="shared" si="17"/>
        <v>0</v>
      </c>
      <c r="BA14" s="154">
        <f t="shared" si="3"/>
        <v>0</v>
      </c>
      <c r="BB14" s="98" t="e">
        <f t="shared" si="4"/>
        <v>#DIV/0!</v>
      </c>
      <c r="BC14" s="98">
        <f t="shared" si="5"/>
        <v>1000</v>
      </c>
      <c r="BD14" s="99">
        <f t="shared" si="6"/>
        <v>1000</v>
      </c>
      <c r="BF14" s="101" t="str">
        <f t="shared" si="21"/>
        <v>shed</v>
      </c>
      <c r="BG14" s="111"/>
      <c r="BH14" s="98" t="e">
        <f t="shared" si="7"/>
        <v>#DIV/0!</v>
      </c>
      <c r="BI14" s="98" t="e">
        <f t="shared" si="7"/>
        <v>#DIV/0!</v>
      </c>
      <c r="BJ14" s="98" t="e">
        <f t="shared" si="7"/>
        <v>#DIV/0!</v>
      </c>
      <c r="BK14" s="98" t="e">
        <f t="shared" si="7"/>
        <v>#DIV/0!</v>
      </c>
      <c r="BL14" s="98" t="e">
        <f t="shared" si="7"/>
        <v>#DIV/0!</v>
      </c>
      <c r="BM14" s="98" t="e">
        <f t="shared" si="7"/>
        <v>#DIV/0!</v>
      </c>
      <c r="BN14" s="98" t="e">
        <f t="shared" si="7"/>
        <v>#DIV/0!</v>
      </c>
      <c r="BO14" s="98" t="e">
        <f t="shared" si="7"/>
        <v>#DIV/0!</v>
      </c>
      <c r="BP14" s="98" t="e">
        <f t="shared" si="7"/>
        <v>#DIV/0!</v>
      </c>
      <c r="BQ14" s="98" t="e">
        <f t="shared" si="7"/>
        <v>#DIV/0!</v>
      </c>
      <c r="BR14" s="98" t="e">
        <f t="shared" si="8"/>
        <v>#DIV/0!</v>
      </c>
      <c r="BS14" s="98" t="e">
        <f t="shared" si="8"/>
        <v>#DIV/0!</v>
      </c>
      <c r="BT14" s="98" t="e">
        <f t="shared" si="8"/>
        <v>#DIV/0!</v>
      </c>
      <c r="BU14" s="98" t="e">
        <f t="shared" si="8"/>
        <v>#DIV/0!</v>
      </c>
      <c r="BV14" s="98" t="e">
        <f t="shared" si="8"/>
        <v>#DIV/0!</v>
      </c>
      <c r="BW14" s="98" t="e">
        <f t="shared" si="8"/>
        <v>#DIV/0!</v>
      </c>
      <c r="BX14" s="98" t="e">
        <f t="shared" si="8"/>
        <v>#DIV/0!</v>
      </c>
      <c r="BY14" s="98" t="e">
        <f t="shared" si="8"/>
        <v>#DIV/0!</v>
      </c>
      <c r="BZ14" s="98" t="e">
        <f t="shared" si="8"/>
        <v>#DIV/0!</v>
      </c>
      <c r="CA14" s="99" t="e">
        <f t="shared" si="8"/>
        <v>#DIV/0!</v>
      </c>
      <c r="CV14" s="85"/>
    </row>
    <row r="15" spans="2:100" x14ac:dyDescent="0.35">
      <c r="B15" s="336"/>
      <c r="C15" s="337" t="s">
        <v>203</v>
      </c>
      <c r="D15" s="490">
        <f t="shared" si="9"/>
        <v>1075</v>
      </c>
      <c r="E15" s="420">
        <v>1075</v>
      </c>
      <c r="F15" s="350">
        <v>925</v>
      </c>
      <c r="G15" s="351">
        <v>865</v>
      </c>
      <c r="H15" s="351">
        <f t="shared" si="10"/>
        <v>865</v>
      </c>
      <c r="I15" s="352"/>
      <c r="J15" s="349"/>
      <c r="K15" s="420"/>
      <c r="L15" s="358"/>
      <c r="M15" s="351"/>
      <c r="N15" s="351"/>
      <c r="O15" s="352">
        <v>25</v>
      </c>
      <c r="P15" s="490">
        <f t="shared" si="11"/>
        <v>16</v>
      </c>
      <c r="Q15" s="420">
        <v>16</v>
      </c>
      <c r="R15" s="358">
        <v>15</v>
      </c>
      <c r="S15" s="351">
        <v>14</v>
      </c>
      <c r="T15" s="351">
        <f t="shared" si="12"/>
        <v>14</v>
      </c>
      <c r="U15" s="439">
        <f t="shared" si="13"/>
        <v>0.2</v>
      </c>
      <c r="V15" s="440">
        <v>0.2</v>
      </c>
      <c r="W15" s="441">
        <v>0.2</v>
      </c>
      <c r="X15" s="442">
        <v>0.2</v>
      </c>
      <c r="Y15" s="351">
        <f t="shared" si="14"/>
        <v>0.2</v>
      </c>
      <c r="Z15" s="352">
        <v>1</v>
      </c>
      <c r="AA15" s="354"/>
      <c r="AB15" s="498">
        <f t="shared" si="15"/>
        <v>1</v>
      </c>
      <c r="AC15" s="431">
        <v>1</v>
      </c>
      <c r="AD15" s="416">
        <v>1</v>
      </c>
      <c r="AE15" s="353">
        <v>1</v>
      </c>
      <c r="AF15" s="351">
        <f t="shared" si="16"/>
        <v>1</v>
      </c>
      <c r="AG15" s="474"/>
      <c r="AH15" s="352">
        <v>0</v>
      </c>
      <c r="AI15" s="354"/>
      <c r="AJ15" s="352"/>
      <c r="AK15" s="352"/>
      <c r="AL15" s="355">
        <v>1</v>
      </c>
      <c r="AP15" s="83"/>
      <c r="AQ15" s="83"/>
      <c r="AR15" s="356">
        <v>1</v>
      </c>
      <c r="AS15" s="98"/>
      <c r="AT15" s="98">
        <f t="shared" si="0"/>
        <v>1075</v>
      </c>
      <c r="AU15" s="98"/>
      <c r="AV15" s="98">
        <f t="shared" si="1"/>
        <v>76.273891596671845</v>
      </c>
      <c r="AW15" s="98"/>
      <c r="AX15" s="154">
        <f t="shared" si="2"/>
        <v>0</v>
      </c>
      <c r="AY15" s="154">
        <f>P15+AX15</f>
        <v>16</v>
      </c>
      <c r="AZ15" s="154">
        <f t="shared" si="17"/>
        <v>1</v>
      </c>
      <c r="BA15" s="154">
        <f t="shared" si="3"/>
        <v>92.273891596671845</v>
      </c>
      <c r="BB15" s="98" t="e">
        <f t="shared" si="4"/>
        <v>#DIV/0!</v>
      </c>
      <c r="BC15" s="98">
        <f t="shared" si="5"/>
        <v>0.2</v>
      </c>
      <c r="BD15" s="99">
        <f t="shared" si="6"/>
        <v>0.2</v>
      </c>
      <c r="BF15" s="100" t="str">
        <f t="shared" si="21"/>
        <v>wion</v>
      </c>
      <c r="BG15" s="110">
        <v>0</v>
      </c>
      <c r="BH15" s="111"/>
      <c r="BI15" s="110"/>
      <c r="BJ15" s="110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2"/>
      <c r="CV15" s="85"/>
    </row>
    <row r="16" spans="2:100" x14ac:dyDescent="0.35">
      <c r="B16" s="336"/>
      <c r="C16" s="337" t="s">
        <v>204</v>
      </c>
      <c r="D16" s="490">
        <f t="shared" si="9"/>
        <v>2250</v>
      </c>
      <c r="E16" s="420">
        <v>2250</v>
      </c>
      <c r="F16" s="350">
        <v>2110</v>
      </c>
      <c r="G16" s="351">
        <v>2065</v>
      </c>
      <c r="H16" s="351">
        <f t="shared" si="10"/>
        <v>2065</v>
      </c>
      <c r="I16" s="352"/>
      <c r="J16" s="349"/>
      <c r="K16" s="420"/>
      <c r="L16" s="358"/>
      <c r="M16" s="351"/>
      <c r="N16" s="351"/>
      <c r="O16" s="352">
        <v>25</v>
      </c>
      <c r="P16" s="490">
        <f t="shared" si="11"/>
        <v>34</v>
      </c>
      <c r="Q16" s="420">
        <v>34</v>
      </c>
      <c r="R16" s="358">
        <v>33</v>
      </c>
      <c r="S16" s="351">
        <v>32</v>
      </c>
      <c r="T16" s="351">
        <f t="shared" si="12"/>
        <v>32</v>
      </c>
      <c r="U16" s="439">
        <f t="shared" si="13"/>
        <v>0.4</v>
      </c>
      <c r="V16" s="440">
        <v>0.4</v>
      </c>
      <c r="W16" s="441">
        <v>0.4</v>
      </c>
      <c r="X16" s="442">
        <v>0.4</v>
      </c>
      <c r="Y16" s="351">
        <f t="shared" si="14"/>
        <v>0.4</v>
      </c>
      <c r="Z16" s="352">
        <v>1</v>
      </c>
      <c r="AA16" s="354"/>
      <c r="AB16" s="498">
        <f t="shared" si="15"/>
        <v>1</v>
      </c>
      <c r="AC16" s="431">
        <v>1</v>
      </c>
      <c r="AD16" s="416">
        <v>1</v>
      </c>
      <c r="AE16" s="353">
        <v>1</v>
      </c>
      <c r="AF16" s="351">
        <f t="shared" si="16"/>
        <v>1</v>
      </c>
      <c r="AG16" s="474"/>
      <c r="AH16" s="352">
        <v>0</v>
      </c>
      <c r="AI16" s="354"/>
      <c r="AJ16" s="352"/>
      <c r="AK16" s="352"/>
      <c r="AL16" s="355">
        <v>1</v>
      </c>
      <c r="AP16" s="83"/>
      <c r="AQ16" s="83"/>
      <c r="AR16" s="356">
        <v>1</v>
      </c>
      <c r="AS16" s="98"/>
      <c r="AT16" s="98">
        <f t="shared" si="0"/>
        <v>2250</v>
      </c>
      <c r="AU16" s="98"/>
      <c r="AV16" s="98">
        <f t="shared" si="1"/>
        <v>159.64302892326663</v>
      </c>
      <c r="AW16" s="98"/>
      <c r="AX16" s="154">
        <f t="shared" si="2"/>
        <v>0</v>
      </c>
      <c r="AY16" s="154">
        <f>P16+AX16</f>
        <v>34</v>
      </c>
      <c r="AZ16" s="154">
        <f t="shared" si="17"/>
        <v>1</v>
      </c>
      <c r="BA16" s="154">
        <f t="shared" si="3"/>
        <v>197.14302892326663</v>
      </c>
      <c r="BB16" s="98" t="e">
        <f t="shared" si="4"/>
        <v>#DIV/0!</v>
      </c>
      <c r="BC16" s="98">
        <f t="shared" si="5"/>
        <v>0.4</v>
      </c>
      <c r="BD16" s="99">
        <f t="shared" si="6"/>
        <v>0.4</v>
      </c>
      <c r="BF16" s="100" t="str">
        <f t="shared" si="21"/>
        <v>wiof</v>
      </c>
      <c r="BG16" s="110">
        <v>3500</v>
      </c>
      <c r="BH16" s="111"/>
      <c r="BI16" s="110"/>
      <c r="BJ16" s="110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2"/>
      <c r="CV16" s="85"/>
    </row>
    <row r="17" spans="2:101" x14ac:dyDescent="0.35">
      <c r="B17" s="371"/>
      <c r="C17" s="372" t="s">
        <v>20</v>
      </c>
      <c r="D17" s="492">
        <f t="shared" si="9"/>
        <v>655</v>
      </c>
      <c r="E17" s="277">
        <v>655</v>
      </c>
      <c r="F17" s="374">
        <v>500</v>
      </c>
      <c r="G17" s="375">
        <v>450</v>
      </c>
      <c r="H17" s="375">
        <f t="shared" si="10"/>
        <v>450</v>
      </c>
      <c r="I17" s="376"/>
      <c r="J17" s="373"/>
      <c r="K17" s="277"/>
      <c r="L17" s="415"/>
      <c r="M17" s="375"/>
      <c r="N17" s="375"/>
      <c r="O17" s="376">
        <v>25</v>
      </c>
      <c r="P17" s="492">
        <f t="shared" si="11"/>
        <v>11</v>
      </c>
      <c r="Q17" s="277">
        <v>11</v>
      </c>
      <c r="R17" s="415">
        <v>10</v>
      </c>
      <c r="S17" s="375">
        <v>10</v>
      </c>
      <c r="T17" s="375">
        <f t="shared" si="12"/>
        <v>10</v>
      </c>
      <c r="U17" s="447">
        <f t="shared" si="13"/>
        <v>0</v>
      </c>
      <c r="V17" s="448">
        <v>0</v>
      </c>
      <c r="W17" s="449">
        <v>0</v>
      </c>
      <c r="X17" s="450">
        <v>0</v>
      </c>
      <c r="Y17" s="375">
        <f t="shared" si="14"/>
        <v>0</v>
      </c>
      <c r="Z17" s="376">
        <v>1.5</v>
      </c>
      <c r="AA17" s="377"/>
      <c r="AB17" s="499">
        <f t="shared" si="15"/>
        <v>1</v>
      </c>
      <c r="AC17" s="312">
        <v>1</v>
      </c>
      <c r="AD17" s="378">
        <v>1</v>
      </c>
      <c r="AE17" s="379">
        <v>1</v>
      </c>
      <c r="AF17" s="375">
        <f t="shared" si="16"/>
        <v>1</v>
      </c>
      <c r="AG17" s="476"/>
      <c r="AH17" s="376">
        <v>0</v>
      </c>
      <c r="AI17" s="377"/>
      <c r="AJ17" s="376"/>
      <c r="AK17" s="376"/>
      <c r="AL17" s="380">
        <v>1</v>
      </c>
      <c r="AP17" s="83"/>
      <c r="AQ17" s="83"/>
      <c r="AR17" s="356">
        <v>1</v>
      </c>
      <c r="AS17" s="98"/>
      <c r="AT17" s="98">
        <f t="shared" si="0"/>
        <v>655</v>
      </c>
      <c r="AU17" s="98"/>
      <c r="AV17" s="98">
        <f t="shared" si="1"/>
        <v>46.473859530995398</v>
      </c>
      <c r="AW17" s="98"/>
      <c r="AX17" s="154">
        <f t="shared" si="2"/>
        <v>0</v>
      </c>
      <c r="AY17" s="154">
        <f t="shared" ref="AY17:AY23" si="23">P17+AX17</f>
        <v>11</v>
      </c>
      <c r="AZ17" s="154">
        <f t="shared" si="17"/>
        <v>1.5</v>
      </c>
      <c r="BA17" s="154">
        <f t="shared" si="3"/>
        <v>57.473859530995398</v>
      </c>
      <c r="BB17" s="98" t="e">
        <f t="shared" si="4"/>
        <v>#DIV/0!</v>
      </c>
      <c r="BC17" s="98">
        <f t="shared" si="5"/>
        <v>0</v>
      </c>
      <c r="BD17" s="99">
        <f t="shared" si="6"/>
        <v>0</v>
      </c>
      <c r="BF17" s="100" t="str">
        <f t="shared" si="21"/>
        <v>solar</v>
      </c>
      <c r="BG17" s="110">
        <v>0</v>
      </c>
      <c r="BH17" s="111"/>
      <c r="BI17" s="110" t="e">
        <f>$BB17/BG17*1000+$BD17</f>
        <v>#DIV/0!</v>
      </c>
      <c r="BJ17" s="110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2"/>
      <c r="CV17" s="85"/>
    </row>
    <row r="18" spans="2:101" x14ac:dyDescent="0.35">
      <c r="B18" s="336" t="s">
        <v>287</v>
      </c>
      <c r="C18" s="360" t="s">
        <v>267</v>
      </c>
      <c r="D18" s="490">
        <f t="shared" si="9"/>
        <v>900</v>
      </c>
      <c r="E18" s="423">
        <v>900</v>
      </c>
      <c r="F18" s="362">
        <v>675</v>
      </c>
      <c r="G18" s="363">
        <v>450</v>
      </c>
      <c r="H18" s="363">
        <f t="shared" si="10"/>
        <v>450</v>
      </c>
      <c r="I18" s="364"/>
      <c r="J18" s="361"/>
      <c r="K18" s="423"/>
      <c r="L18" s="365"/>
      <c r="M18" s="366"/>
      <c r="N18" s="366"/>
      <c r="O18" s="364">
        <v>25</v>
      </c>
      <c r="P18" s="491">
        <f t="shared" si="11"/>
        <v>18</v>
      </c>
      <c r="Q18" s="423">
        <v>18</v>
      </c>
      <c r="R18" s="365">
        <v>14</v>
      </c>
      <c r="S18" s="366">
        <v>9</v>
      </c>
      <c r="T18" s="363">
        <f t="shared" si="12"/>
        <v>9</v>
      </c>
      <c r="U18" s="443">
        <f t="shared" si="13"/>
        <v>3</v>
      </c>
      <c r="V18" s="444">
        <v>3</v>
      </c>
      <c r="W18" s="445">
        <v>3</v>
      </c>
      <c r="X18" s="446">
        <v>3</v>
      </c>
      <c r="Y18" s="363">
        <f t="shared" si="14"/>
        <v>3</v>
      </c>
      <c r="Z18" s="364"/>
      <c r="AA18" s="367"/>
      <c r="AB18" s="498">
        <f t="shared" si="15"/>
        <v>0.75</v>
      </c>
      <c r="AC18" s="432">
        <v>0.75</v>
      </c>
      <c r="AD18" s="417">
        <f>AC18</f>
        <v>0.75</v>
      </c>
      <c r="AE18" s="368">
        <f>AD18</f>
        <v>0.75</v>
      </c>
      <c r="AF18" s="363">
        <f t="shared" si="16"/>
        <v>0.75</v>
      </c>
      <c r="AG18" s="475"/>
      <c r="AH18" s="369">
        <v>0</v>
      </c>
      <c r="AI18" s="369">
        <v>0</v>
      </c>
      <c r="AJ18" s="367">
        <v>0</v>
      </c>
      <c r="AK18" s="367">
        <v>1</v>
      </c>
      <c r="AL18" s="370">
        <v>1</v>
      </c>
      <c r="AP18" s="88"/>
      <c r="AQ18" s="88"/>
      <c r="AR18" s="356"/>
      <c r="AS18" s="98">
        <f>VLOOKUP($C18,fuel!$A$2:$R$15,16,FALSE)</f>
        <v>-130</v>
      </c>
      <c r="AT18" s="98">
        <f t="shared" si="0"/>
        <v>900</v>
      </c>
      <c r="AU18" s="98"/>
      <c r="AV18" s="98">
        <f t="shared" si="1"/>
        <v>63.857211569306656</v>
      </c>
      <c r="AW18" s="98"/>
      <c r="AX18" s="154">
        <f t="shared" si="2"/>
        <v>0</v>
      </c>
      <c r="AY18" s="154">
        <f t="shared" si="23"/>
        <v>18</v>
      </c>
      <c r="AZ18" s="154">
        <f t="shared" si="17"/>
        <v>0</v>
      </c>
      <c r="BA18" s="154">
        <f t="shared" si="3"/>
        <v>81.857211569306656</v>
      </c>
      <c r="BB18" s="98" t="e">
        <f t="shared" si="4"/>
        <v>#DIV/0!</v>
      </c>
      <c r="BC18" s="98">
        <f t="shared" si="5"/>
        <v>-170.33333333333334</v>
      </c>
      <c r="BD18" s="99">
        <f t="shared" si="6"/>
        <v>-170.33333333333334</v>
      </c>
      <c r="BF18" s="101" t="str">
        <f t="shared" si="21"/>
        <v>PtHydrogen</v>
      </c>
      <c r="BG18" s="111"/>
      <c r="BH18" s="98" t="e">
        <f t="shared" ref="BH18:CA18" si="24">$BB18/BH$1*1000+$BD18</f>
        <v>#DIV/0!</v>
      </c>
      <c r="BI18" s="98" t="e">
        <f t="shared" si="24"/>
        <v>#DIV/0!</v>
      </c>
      <c r="BJ18" s="98" t="e">
        <f t="shared" si="24"/>
        <v>#DIV/0!</v>
      </c>
      <c r="BK18" s="98" t="e">
        <f t="shared" si="24"/>
        <v>#DIV/0!</v>
      </c>
      <c r="BL18" s="98" t="e">
        <f t="shared" si="24"/>
        <v>#DIV/0!</v>
      </c>
      <c r="BM18" s="98" t="e">
        <f t="shared" si="24"/>
        <v>#DIV/0!</v>
      </c>
      <c r="BN18" s="98" t="e">
        <f t="shared" si="24"/>
        <v>#DIV/0!</v>
      </c>
      <c r="BO18" s="98" t="e">
        <f t="shared" si="24"/>
        <v>#DIV/0!</v>
      </c>
      <c r="BP18" s="98" t="e">
        <f t="shared" si="24"/>
        <v>#DIV/0!</v>
      </c>
      <c r="BQ18" s="98" t="e">
        <f t="shared" si="24"/>
        <v>#DIV/0!</v>
      </c>
      <c r="BR18" s="98" t="e">
        <f t="shared" si="24"/>
        <v>#DIV/0!</v>
      </c>
      <c r="BS18" s="98" t="e">
        <f t="shared" si="24"/>
        <v>#DIV/0!</v>
      </c>
      <c r="BT18" s="98" t="e">
        <f t="shared" si="24"/>
        <v>#DIV/0!</v>
      </c>
      <c r="BU18" s="98" t="e">
        <f t="shared" si="24"/>
        <v>#DIV/0!</v>
      </c>
      <c r="BV18" s="98" t="e">
        <f t="shared" si="24"/>
        <v>#DIV/0!</v>
      </c>
      <c r="BW18" s="98" t="e">
        <f t="shared" si="24"/>
        <v>#DIV/0!</v>
      </c>
      <c r="BX18" s="98" t="e">
        <f t="shared" si="24"/>
        <v>#DIV/0!</v>
      </c>
      <c r="BY18" s="98" t="e">
        <f t="shared" si="24"/>
        <v>#DIV/0!</v>
      </c>
      <c r="BZ18" s="98" t="e">
        <f t="shared" si="24"/>
        <v>#DIV/0!</v>
      </c>
      <c r="CA18" s="99" t="e">
        <f t="shared" si="24"/>
        <v>#DIV/0!</v>
      </c>
      <c r="CV18" s="85"/>
    </row>
    <row r="19" spans="2:101" x14ac:dyDescent="0.35">
      <c r="B19" s="381" t="s">
        <v>194</v>
      </c>
      <c r="C19" s="382" t="s">
        <v>131</v>
      </c>
      <c r="D19" s="493">
        <f t="shared" si="9"/>
        <v>3000</v>
      </c>
      <c r="E19" s="279">
        <v>3000</v>
      </c>
      <c r="F19" s="384">
        <v>3000</v>
      </c>
      <c r="G19" s="385">
        <v>3000</v>
      </c>
      <c r="H19" s="385">
        <f t="shared" si="10"/>
        <v>3000</v>
      </c>
      <c r="I19" s="386"/>
      <c r="J19" s="383"/>
      <c r="K19" s="279"/>
      <c r="L19" s="387"/>
      <c r="M19" s="385"/>
      <c r="N19" s="385"/>
      <c r="O19" s="386">
        <v>60</v>
      </c>
      <c r="P19" s="493">
        <f t="shared" si="11"/>
        <v>25</v>
      </c>
      <c r="Q19" s="279">
        <v>25</v>
      </c>
      <c r="R19" s="387">
        <v>25</v>
      </c>
      <c r="S19" s="385">
        <v>25</v>
      </c>
      <c r="T19" s="385">
        <f t="shared" si="12"/>
        <v>25</v>
      </c>
      <c r="U19" s="451">
        <v>0.32</v>
      </c>
      <c r="V19" s="452">
        <v>0.32</v>
      </c>
      <c r="W19" s="453">
        <v>0.32</v>
      </c>
      <c r="X19" s="454">
        <v>0.32</v>
      </c>
      <c r="Y19" s="385">
        <f t="shared" si="14"/>
        <v>0.32</v>
      </c>
      <c r="Z19" s="388"/>
      <c r="AA19" s="388"/>
      <c r="AB19" s="500">
        <f t="shared" si="15"/>
        <v>1</v>
      </c>
      <c r="AC19" s="313">
        <v>1</v>
      </c>
      <c r="AD19" s="389">
        <v>1</v>
      </c>
      <c r="AE19" s="390">
        <v>1</v>
      </c>
      <c r="AF19" s="385">
        <f t="shared" si="16"/>
        <v>1</v>
      </c>
      <c r="AG19" s="477"/>
      <c r="AH19" s="386">
        <v>0</v>
      </c>
      <c r="AI19" s="388"/>
      <c r="AJ19" s="386"/>
      <c r="AK19" s="386"/>
      <c r="AL19" s="391">
        <v>1</v>
      </c>
      <c r="AP19" s="83"/>
      <c r="AQ19" s="83"/>
      <c r="AR19" s="356">
        <v>1</v>
      </c>
      <c r="AS19" s="98"/>
      <c r="AT19" s="98">
        <f t="shared" si="0"/>
        <v>3000</v>
      </c>
      <c r="AU19" s="98"/>
      <c r="AV19" s="98">
        <f t="shared" si="1"/>
        <v>158.48455358172708</v>
      </c>
      <c r="AW19" s="98"/>
      <c r="AX19" s="154">
        <f t="shared" si="2"/>
        <v>0</v>
      </c>
      <c r="AY19" s="154">
        <f t="shared" si="23"/>
        <v>25</v>
      </c>
      <c r="AZ19" s="154">
        <f t="shared" si="17"/>
        <v>0</v>
      </c>
      <c r="BA19" s="154">
        <f t="shared" si="3"/>
        <v>183.48455358172708</v>
      </c>
      <c r="BB19" s="98" t="e">
        <f t="shared" si="4"/>
        <v>#DIV/0!</v>
      </c>
      <c r="BC19" s="98">
        <f t="shared" si="5"/>
        <v>0.32</v>
      </c>
      <c r="BD19" s="99">
        <f t="shared" si="6"/>
        <v>0.32</v>
      </c>
      <c r="BF19" s="100" t="s">
        <v>18</v>
      </c>
      <c r="BG19" s="110">
        <v>0</v>
      </c>
      <c r="BH19" s="111"/>
      <c r="BI19" s="110" t="e">
        <f>$BB19/BG19*1000+$BD19</f>
        <v>#DIV/0!</v>
      </c>
      <c r="BJ19" s="110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2"/>
      <c r="CV19" s="85"/>
    </row>
    <row r="20" spans="2:101" x14ac:dyDescent="0.35">
      <c r="B20" s="336" t="s">
        <v>192</v>
      </c>
      <c r="C20" s="337" t="s">
        <v>134</v>
      </c>
      <c r="D20" s="491">
        <f t="shared" si="9"/>
        <v>2400</v>
      </c>
      <c r="E20" s="424">
        <v>2400</v>
      </c>
      <c r="F20" s="393">
        <v>2350</v>
      </c>
      <c r="G20" s="394">
        <v>2300</v>
      </c>
      <c r="H20" s="394">
        <f t="shared" si="10"/>
        <v>2300</v>
      </c>
      <c r="I20" s="395"/>
      <c r="J20" s="392"/>
      <c r="K20" s="424"/>
      <c r="L20" s="393"/>
      <c r="M20" s="394"/>
      <c r="N20" s="394"/>
      <c r="O20" s="395">
        <v>1</v>
      </c>
      <c r="P20" s="491">
        <f t="shared" si="11"/>
        <v>8</v>
      </c>
      <c r="Q20" s="424">
        <v>8</v>
      </c>
      <c r="R20" s="393">
        <v>8</v>
      </c>
      <c r="S20" s="394">
        <v>8</v>
      </c>
      <c r="T20" s="394">
        <f t="shared" si="12"/>
        <v>8</v>
      </c>
      <c r="U20" s="455">
        <v>0</v>
      </c>
      <c r="V20" s="456">
        <v>0</v>
      </c>
      <c r="W20" s="457">
        <v>0</v>
      </c>
      <c r="X20" s="458">
        <v>0</v>
      </c>
      <c r="Y20" s="394">
        <f t="shared" si="14"/>
        <v>0</v>
      </c>
      <c r="Z20" s="395"/>
      <c r="AA20" s="395"/>
      <c r="AB20" s="498">
        <f t="shared" si="15"/>
        <v>1</v>
      </c>
      <c r="AC20" s="433">
        <v>1</v>
      </c>
      <c r="AD20" s="418">
        <v>1</v>
      </c>
      <c r="AE20" s="396">
        <v>1</v>
      </c>
      <c r="AF20" s="394">
        <f t="shared" si="16"/>
        <v>1</v>
      </c>
      <c r="AG20" s="478"/>
      <c r="AH20" s="395">
        <v>1</v>
      </c>
      <c r="AI20" s="395"/>
      <c r="AJ20" s="395"/>
      <c r="AK20" s="395"/>
      <c r="AL20" s="397">
        <v>1</v>
      </c>
      <c r="AP20" s="83"/>
      <c r="AQ20" s="83"/>
      <c r="AR20" s="356">
        <v>1</v>
      </c>
      <c r="AS20" s="98"/>
      <c r="AT20" s="98">
        <f t="shared" si="0"/>
        <v>2400</v>
      </c>
      <c r="AU20" s="98"/>
      <c r="AV20" s="98">
        <f t="shared" si="1"/>
        <v>2519.9999999999982</v>
      </c>
      <c r="AW20" s="98"/>
      <c r="AX20" s="154">
        <f t="shared" si="2"/>
        <v>10</v>
      </c>
      <c r="AY20" s="154">
        <f t="shared" si="23"/>
        <v>18</v>
      </c>
      <c r="AZ20" s="154">
        <f t="shared" si="17"/>
        <v>0</v>
      </c>
      <c r="BA20" s="154">
        <f t="shared" si="3"/>
        <v>2537.9999999999982</v>
      </c>
      <c r="BB20" s="98" t="e">
        <f t="shared" si="4"/>
        <v>#DIV/0!</v>
      </c>
      <c r="BC20" s="98">
        <f t="shared" si="5"/>
        <v>0</v>
      </c>
      <c r="BD20" s="99">
        <f t="shared" si="6"/>
        <v>-1</v>
      </c>
      <c r="BF20" s="113" t="s">
        <v>63</v>
      </c>
      <c r="BG20" s="236"/>
      <c r="BH20" s="114" t="e">
        <f t="shared" ref="BH20:CA20" si="25">MIN(BH4:BH14)</f>
        <v>#DIV/0!</v>
      </c>
      <c r="BI20" s="114" t="e">
        <f t="shared" si="25"/>
        <v>#DIV/0!</v>
      </c>
      <c r="BJ20" s="114" t="e">
        <f t="shared" si="25"/>
        <v>#DIV/0!</v>
      </c>
      <c r="BK20" s="114" t="e">
        <f t="shared" si="25"/>
        <v>#DIV/0!</v>
      </c>
      <c r="BL20" s="114" t="e">
        <f t="shared" si="25"/>
        <v>#DIV/0!</v>
      </c>
      <c r="BM20" s="114" t="e">
        <f t="shared" si="25"/>
        <v>#DIV/0!</v>
      </c>
      <c r="BN20" s="114" t="e">
        <f t="shared" si="25"/>
        <v>#DIV/0!</v>
      </c>
      <c r="BO20" s="114" t="e">
        <f t="shared" si="25"/>
        <v>#DIV/0!</v>
      </c>
      <c r="BP20" s="114" t="e">
        <f t="shared" si="25"/>
        <v>#DIV/0!</v>
      </c>
      <c r="BQ20" s="114" t="e">
        <f t="shared" si="25"/>
        <v>#DIV/0!</v>
      </c>
      <c r="BR20" s="114" t="e">
        <f t="shared" si="25"/>
        <v>#DIV/0!</v>
      </c>
      <c r="BS20" s="114" t="e">
        <f t="shared" si="25"/>
        <v>#DIV/0!</v>
      </c>
      <c r="BT20" s="114" t="e">
        <f t="shared" si="25"/>
        <v>#DIV/0!</v>
      </c>
      <c r="BU20" s="114" t="e">
        <f t="shared" si="25"/>
        <v>#DIV/0!</v>
      </c>
      <c r="BV20" s="114" t="e">
        <f t="shared" si="25"/>
        <v>#DIV/0!</v>
      </c>
      <c r="BW20" s="114" t="e">
        <f t="shared" si="25"/>
        <v>#DIV/0!</v>
      </c>
      <c r="BX20" s="114" t="e">
        <f t="shared" si="25"/>
        <v>#DIV/0!</v>
      </c>
      <c r="BY20" s="114" t="e">
        <f t="shared" si="25"/>
        <v>#DIV/0!</v>
      </c>
      <c r="BZ20" s="114" t="e">
        <f t="shared" si="25"/>
        <v>#DIV/0!</v>
      </c>
      <c r="CA20" s="115" t="e">
        <f t="shared" si="25"/>
        <v>#DIV/0!</v>
      </c>
      <c r="CV20" s="85"/>
    </row>
    <row r="21" spans="2:101" x14ac:dyDescent="0.35">
      <c r="B21" s="371" t="s">
        <v>195</v>
      </c>
      <c r="C21" s="372" t="s">
        <v>151</v>
      </c>
      <c r="D21" s="494">
        <f t="shared" si="9"/>
        <v>1</v>
      </c>
      <c r="E21" s="278">
        <v>1</v>
      </c>
      <c r="F21" s="399">
        <v>1</v>
      </c>
      <c r="G21" s="400">
        <v>1</v>
      </c>
      <c r="H21" s="400">
        <f t="shared" si="10"/>
        <v>1</v>
      </c>
      <c r="I21" s="401"/>
      <c r="J21" s="398"/>
      <c r="K21" s="278"/>
      <c r="L21" s="399"/>
      <c r="M21" s="400"/>
      <c r="N21" s="400"/>
      <c r="O21" s="401">
        <v>1</v>
      </c>
      <c r="P21" s="494">
        <f t="shared" si="11"/>
        <v>1</v>
      </c>
      <c r="Q21" s="278">
        <v>1</v>
      </c>
      <c r="R21" s="399">
        <v>1</v>
      </c>
      <c r="S21" s="400">
        <v>1</v>
      </c>
      <c r="T21" s="400">
        <f t="shared" si="12"/>
        <v>1</v>
      </c>
      <c r="U21" s="459">
        <f t="shared" si="13"/>
        <v>1</v>
      </c>
      <c r="V21" s="460">
        <v>1</v>
      </c>
      <c r="W21" s="461">
        <v>1</v>
      </c>
      <c r="X21" s="462">
        <v>1</v>
      </c>
      <c r="Y21" s="400">
        <f t="shared" si="14"/>
        <v>1</v>
      </c>
      <c r="Z21" s="401"/>
      <c r="AA21" s="401"/>
      <c r="AB21" s="499">
        <f t="shared" si="15"/>
        <v>1</v>
      </c>
      <c r="AC21" s="314">
        <v>1</v>
      </c>
      <c r="AD21" s="402">
        <v>1</v>
      </c>
      <c r="AE21" s="403">
        <v>1</v>
      </c>
      <c r="AF21" s="400">
        <f t="shared" si="16"/>
        <v>1</v>
      </c>
      <c r="AG21" s="479"/>
      <c r="AH21" s="401">
        <v>1</v>
      </c>
      <c r="AI21" s="401"/>
      <c r="AJ21" s="401"/>
      <c r="AK21" s="401"/>
      <c r="AL21" s="404">
        <v>1</v>
      </c>
      <c r="AP21" s="83"/>
      <c r="AQ21" s="83"/>
      <c r="AR21" s="356">
        <v>1</v>
      </c>
      <c r="AS21" s="98"/>
      <c r="AT21" s="98">
        <f t="shared" si="0"/>
        <v>1</v>
      </c>
      <c r="AU21" s="98"/>
      <c r="AV21" s="98">
        <f t="shared" si="1"/>
        <v>1.0499999999999992</v>
      </c>
      <c r="AW21" s="98"/>
      <c r="AX21" s="154">
        <f t="shared" si="2"/>
        <v>10</v>
      </c>
      <c r="AY21" s="154">
        <f t="shared" si="23"/>
        <v>11</v>
      </c>
      <c r="AZ21" s="154">
        <f t="shared" si="17"/>
        <v>0</v>
      </c>
      <c r="BA21" s="154">
        <f t="shared" si="3"/>
        <v>12.049999999999999</v>
      </c>
      <c r="BB21" s="98" t="e">
        <f t="shared" si="4"/>
        <v>#DIV/0!</v>
      </c>
      <c r="BC21" s="98">
        <f t="shared" si="5"/>
        <v>1</v>
      </c>
      <c r="BD21" s="99">
        <f t="shared" si="6"/>
        <v>0</v>
      </c>
      <c r="BF21" s="233" t="s">
        <v>224</v>
      </c>
      <c r="BG21" s="237"/>
      <c r="BH21" s="229">
        <v>0.5</v>
      </c>
      <c r="BI21" s="153">
        <v>1</v>
      </c>
      <c r="BJ21" s="153">
        <v>2</v>
      </c>
      <c r="BK21" s="153">
        <v>3</v>
      </c>
      <c r="BL21" s="153">
        <v>5</v>
      </c>
      <c r="BM21" s="153">
        <v>10</v>
      </c>
      <c r="BN21" s="153">
        <v>20</v>
      </c>
      <c r="BO21" s="153">
        <v>50</v>
      </c>
      <c r="BP21" s="153">
        <v>100</v>
      </c>
      <c r="BQ21" s="230">
        <v>200</v>
      </c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V21" s="85"/>
    </row>
    <row r="22" spans="2:101" x14ac:dyDescent="0.35">
      <c r="B22" s="336" t="s">
        <v>193</v>
      </c>
      <c r="C22" s="337" t="s">
        <v>135</v>
      </c>
      <c r="D22" s="490">
        <f t="shared" si="9"/>
        <v>450</v>
      </c>
      <c r="E22" s="420">
        <v>450</v>
      </c>
      <c r="F22" s="350">
        <v>450</v>
      </c>
      <c r="G22" s="351">
        <v>450</v>
      </c>
      <c r="H22" s="351">
        <f t="shared" si="10"/>
        <v>450</v>
      </c>
      <c r="I22" s="352"/>
      <c r="J22" s="349">
        <f>K22</f>
        <v>45</v>
      </c>
      <c r="K22" s="420">
        <v>45</v>
      </c>
      <c r="L22" s="502">
        <f>AVERAGE(M22,K22)</f>
        <v>45</v>
      </c>
      <c r="M22" s="351">
        <v>45</v>
      </c>
      <c r="N22" s="351">
        <f>M22</f>
        <v>45</v>
      </c>
      <c r="O22" s="352">
        <v>40</v>
      </c>
      <c r="P22" s="490">
        <f t="shared" si="11"/>
        <v>15</v>
      </c>
      <c r="Q22" s="420">
        <v>15</v>
      </c>
      <c r="R22" s="358">
        <v>15</v>
      </c>
      <c r="S22" s="351">
        <v>15</v>
      </c>
      <c r="T22" s="351">
        <f t="shared" si="12"/>
        <v>15</v>
      </c>
      <c r="U22" s="439">
        <f>U19*2</f>
        <v>0.64</v>
      </c>
      <c r="V22" s="440">
        <f>U22</f>
        <v>0.64</v>
      </c>
      <c r="W22" s="441">
        <f t="shared" ref="W22:X22" si="26">V22</f>
        <v>0.64</v>
      </c>
      <c r="X22" s="442">
        <f t="shared" si="26"/>
        <v>0.64</v>
      </c>
      <c r="Y22" s="351">
        <f t="shared" si="14"/>
        <v>0.64</v>
      </c>
      <c r="Z22" s="354"/>
      <c r="AA22" s="354"/>
      <c r="AB22" s="498">
        <f t="shared" si="15"/>
        <v>0.7</v>
      </c>
      <c r="AC22" s="431">
        <v>0.7</v>
      </c>
      <c r="AD22" s="416">
        <v>0.7</v>
      </c>
      <c r="AE22" s="353">
        <v>0.7</v>
      </c>
      <c r="AF22" s="351">
        <f t="shared" si="16"/>
        <v>0.7</v>
      </c>
      <c r="AG22" s="474"/>
      <c r="AH22" s="352">
        <v>0</v>
      </c>
      <c r="AI22" s="354"/>
      <c r="AJ22" s="352"/>
      <c r="AK22" s="352"/>
      <c r="AL22" s="355">
        <v>0.7</v>
      </c>
      <c r="AP22" s="83"/>
      <c r="AQ22" s="83"/>
      <c r="AR22" s="356">
        <v>0.7</v>
      </c>
      <c r="AS22" s="98"/>
      <c r="AT22" s="98">
        <f t="shared" si="0"/>
        <v>450</v>
      </c>
      <c r="AU22" s="98">
        <f>J22</f>
        <v>45</v>
      </c>
      <c r="AV22" s="98">
        <f t="shared" si="1"/>
        <v>26.225172524715749</v>
      </c>
      <c r="AW22" s="98">
        <f>J22*((1+$D$29)^O22*$D$29)/((1+$D$29)^O22-1)</f>
        <v>2.622517252471575</v>
      </c>
      <c r="AX22" s="154">
        <f t="shared" si="2"/>
        <v>0</v>
      </c>
      <c r="AY22" s="154">
        <f t="shared" si="23"/>
        <v>15</v>
      </c>
      <c r="AZ22" s="154">
        <f t="shared" si="17"/>
        <v>0</v>
      </c>
      <c r="BA22" s="154">
        <f t="shared" si="3"/>
        <v>28.857620767301018</v>
      </c>
      <c r="BB22" s="98" t="e">
        <f t="shared" si="4"/>
        <v>#DIV/0!</v>
      </c>
      <c r="BC22" s="98">
        <f t="shared" si="5"/>
        <v>0.64</v>
      </c>
      <c r="BD22" s="99">
        <f t="shared" si="6"/>
        <v>0.64</v>
      </c>
      <c r="BF22" s="231" t="str">
        <f>C22</f>
        <v>PHS</v>
      </c>
      <c r="BG22" s="310"/>
      <c r="BH22" s="154" t="e">
        <f>$BB22+BH$21*$AW22</f>
        <v>#DIV/0!</v>
      </c>
      <c r="BI22" s="154" t="e">
        <f t="shared" ref="BI22:BQ23" si="27">$BB22+BI$21*$AW22</f>
        <v>#DIV/0!</v>
      </c>
      <c r="BJ22" s="154" t="e">
        <f t="shared" si="27"/>
        <v>#DIV/0!</v>
      </c>
      <c r="BK22" s="154" t="e">
        <f t="shared" si="27"/>
        <v>#DIV/0!</v>
      </c>
      <c r="BL22" s="154" t="e">
        <f t="shared" si="27"/>
        <v>#DIV/0!</v>
      </c>
      <c r="BM22" s="154" t="e">
        <f t="shared" si="27"/>
        <v>#DIV/0!</v>
      </c>
      <c r="BN22" s="154" t="e">
        <f t="shared" si="27"/>
        <v>#DIV/0!</v>
      </c>
      <c r="BO22" s="154" t="e">
        <f t="shared" si="27"/>
        <v>#DIV/0!</v>
      </c>
      <c r="BP22" s="154" t="e">
        <f t="shared" si="27"/>
        <v>#DIV/0!</v>
      </c>
      <c r="BQ22" s="232" t="e">
        <f t="shared" si="27"/>
        <v>#DIV/0!</v>
      </c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V22" s="85"/>
    </row>
    <row r="23" spans="2:101" x14ac:dyDescent="0.35">
      <c r="B23" s="371"/>
      <c r="C23" s="405" t="s">
        <v>152</v>
      </c>
      <c r="D23" s="495">
        <f t="shared" si="9"/>
        <v>83.333333333333329</v>
      </c>
      <c r="E23" s="486">
        <f>250/3</f>
        <v>83.333333333333329</v>
      </c>
      <c r="F23" s="488">
        <f>AVERAGE(G23,E23)</f>
        <v>79.166666666666657</v>
      </c>
      <c r="G23" s="487">
        <f>225/3</f>
        <v>75</v>
      </c>
      <c r="H23" s="487">
        <f t="shared" si="10"/>
        <v>75</v>
      </c>
      <c r="I23" s="407"/>
      <c r="J23" s="485">
        <f>K23</f>
        <v>166.66666666666666</v>
      </c>
      <c r="K23" s="486">
        <f>250/3*2</f>
        <v>166.66666666666666</v>
      </c>
      <c r="L23" s="488">
        <f>AVERAGE(M23,K23)</f>
        <v>158.33333333333331</v>
      </c>
      <c r="M23" s="487">
        <f>225*2/3</f>
        <v>150</v>
      </c>
      <c r="N23" s="487">
        <f>M23</f>
        <v>150</v>
      </c>
      <c r="O23" s="407">
        <v>12</v>
      </c>
      <c r="P23" s="496">
        <f t="shared" si="11"/>
        <v>0</v>
      </c>
      <c r="Q23" s="425">
        <v>0</v>
      </c>
      <c r="R23" s="408">
        <v>0</v>
      </c>
      <c r="S23" s="406">
        <v>0</v>
      </c>
      <c r="T23" s="487">
        <f t="shared" si="12"/>
        <v>0</v>
      </c>
      <c r="U23" s="463">
        <f>U22</f>
        <v>0.64</v>
      </c>
      <c r="V23" s="464">
        <f>U23</f>
        <v>0.64</v>
      </c>
      <c r="W23" s="465">
        <f t="shared" ref="W23:X23" si="28">V23</f>
        <v>0.64</v>
      </c>
      <c r="X23" s="466">
        <f t="shared" si="28"/>
        <v>0.64</v>
      </c>
      <c r="Y23" s="487">
        <f t="shared" si="14"/>
        <v>0.64</v>
      </c>
      <c r="Z23" s="409"/>
      <c r="AA23" s="409"/>
      <c r="AB23" s="501">
        <f t="shared" si="15"/>
        <v>0.92</v>
      </c>
      <c r="AC23" s="434">
        <v>0.92</v>
      </c>
      <c r="AD23" s="410">
        <v>0.92</v>
      </c>
      <c r="AE23" s="411">
        <v>0.92</v>
      </c>
      <c r="AF23" s="487">
        <f t="shared" si="16"/>
        <v>0.92</v>
      </c>
      <c r="AG23" s="480"/>
      <c r="AH23" s="407">
        <v>0</v>
      </c>
      <c r="AI23" s="409"/>
      <c r="AJ23" s="407"/>
      <c r="AK23" s="407"/>
      <c r="AL23" s="412">
        <v>0.7</v>
      </c>
      <c r="AP23" s="197"/>
      <c r="AQ23" s="197"/>
      <c r="AR23" s="356">
        <v>0.92</v>
      </c>
      <c r="AS23" s="98"/>
      <c r="AT23" s="98">
        <f t="shared" si="0"/>
        <v>83.333333333333329</v>
      </c>
      <c r="AU23" s="98">
        <f>J23</f>
        <v>166.66666666666666</v>
      </c>
      <c r="AV23" s="98">
        <f t="shared" si="1"/>
        <v>9.402117501734617</v>
      </c>
      <c r="AW23" s="98">
        <f>J23*((1+$D$29)^O23*$D$29)/((1+$D$29)^O23-1)</f>
        <v>18.804235003469234</v>
      </c>
      <c r="AX23" s="154">
        <f t="shared" si="2"/>
        <v>0</v>
      </c>
      <c r="AY23" s="154">
        <f t="shared" si="23"/>
        <v>0</v>
      </c>
      <c r="AZ23" s="154">
        <f t="shared" si="17"/>
        <v>0</v>
      </c>
      <c r="BA23" s="154">
        <f t="shared" si="3"/>
        <v>6.5814822512142319</v>
      </c>
      <c r="BB23" s="98" t="e">
        <f t="shared" si="4"/>
        <v>#DIV/0!</v>
      </c>
      <c r="BC23" s="98">
        <f t="shared" si="5"/>
        <v>0.64</v>
      </c>
      <c r="BD23" s="99">
        <f t="shared" si="6"/>
        <v>0.64</v>
      </c>
      <c r="BF23" s="113" t="str">
        <f>C23</f>
        <v>batr</v>
      </c>
      <c r="BG23" s="236"/>
      <c r="BH23" s="114" t="e">
        <f>$BB23+BH$21*$AW23</f>
        <v>#DIV/0!</v>
      </c>
      <c r="BI23" s="114" t="e">
        <f t="shared" si="27"/>
        <v>#DIV/0!</v>
      </c>
      <c r="BJ23" s="114" t="e">
        <f t="shared" si="27"/>
        <v>#DIV/0!</v>
      </c>
      <c r="BK23" s="114" t="e">
        <f t="shared" si="27"/>
        <v>#DIV/0!</v>
      </c>
      <c r="BL23" s="114" t="e">
        <f t="shared" si="27"/>
        <v>#DIV/0!</v>
      </c>
      <c r="BM23" s="114" t="e">
        <f t="shared" si="27"/>
        <v>#DIV/0!</v>
      </c>
      <c r="BN23" s="114" t="e">
        <f t="shared" si="27"/>
        <v>#DIV/0!</v>
      </c>
      <c r="BO23" s="114" t="e">
        <f t="shared" si="27"/>
        <v>#DIV/0!</v>
      </c>
      <c r="BP23" s="114" t="e">
        <f t="shared" si="27"/>
        <v>#DIV/0!</v>
      </c>
      <c r="BQ23" s="115" t="e">
        <f t="shared" si="27"/>
        <v>#DIV/0!</v>
      </c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V23" s="85"/>
    </row>
    <row r="24" spans="2:101" x14ac:dyDescent="0.35">
      <c r="C24" s="145" t="s">
        <v>120</v>
      </c>
      <c r="U24" s="84" t="s">
        <v>296</v>
      </c>
      <c r="AM24" s="83"/>
      <c r="AN24" s="83"/>
      <c r="AO24" s="83"/>
      <c r="AP24" s="83"/>
      <c r="AQ24" s="83"/>
      <c r="AR24" s="83"/>
      <c r="AS24" s="83"/>
      <c r="AT24" s="198"/>
      <c r="AU24" s="198"/>
      <c r="AV24" s="199"/>
      <c r="AW24" s="199"/>
      <c r="AX24" s="199"/>
      <c r="AY24" s="199"/>
      <c r="AZ24" s="199"/>
      <c r="BA24" s="199"/>
      <c r="BB24" s="199"/>
      <c r="BC24" s="200"/>
      <c r="BD24" s="199"/>
      <c r="BF24" s="89"/>
      <c r="BG24" s="89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89"/>
      <c r="CV24" s="85"/>
    </row>
    <row r="25" spans="2:101" x14ac:dyDescent="0.35">
      <c r="C25" s="145"/>
      <c r="AM25" s="83"/>
      <c r="AN25" s="83"/>
      <c r="AO25" s="83"/>
      <c r="AP25" s="83"/>
      <c r="AQ25" s="83"/>
      <c r="AR25" s="83"/>
      <c r="AS25" s="83"/>
      <c r="AV25" s="86"/>
      <c r="AW25" s="86"/>
      <c r="AX25" s="86"/>
      <c r="AY25" s="86"/>
      <c r="AZ25" s="86"/>
      <c r="BA25" s="86"/>
      <c r="BB25" s="86"/>
      <c r="BC25" s="413"/>
      <c r="BD25" s="86"/>
      <c r="BF25" s="89"/>
      <c r="BG25" s="89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89"/>
      <c r="CV25" s="85"/>
    </row>
    <row r="26" spans="2:101" x14ac:dyDescent="0.35">
      <c r="C26" s="145"/>
      <c r="AM26" s="83"/>
      <c r="AN26" s="83"/>
      <c r="AO26" s="83"/>
      <c r="AP26" s="83"/>
      <c r="AQ26" s="83"/>
      <c r="AR26" s="83"/>
      <c r="AS26" s="83"/>
      <c r="AV26" s="86"/>
      <c r="AW26" s="86"/>
      <c r="AX26" s="86"/>
      <c r="AY26" s="86"/>
      <c r="AZ26" s="86"/>
      <c r="BA26" s="86"/>
      <c r="BB26" s="86"/>
      <c r="BC26" s="413"/>
      <c r="BD26" s="86"/>
      <c r="BF26" s="89"/>
      <c r="BG26" s="89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89"/>
      <c r="CV26" s="85"/>
    </row>
    <row r="27" spans="2:101" x14ac:dyDescent="0.35">
      <c r="AT27" s="109">
        <v>265</v>
      </c>
      <c r="AU27" s="123"/>
      <c r="AV27" s="96" t="e">
        <f>#REF!*1000/8760*AT27/0.8+#REF!</f>
        <v>#REF!</v>
      </c>
      <c r="AW27" s="96"/>
      <c r="AX27" s="123" t="s">
        <v>10</v>
      </c>
      <c r="AY27" s="96" t="e">
        <f>#REF!*1000/8760*AT27/0.8+#REF!</f>
        <v>#REF!</v>
      </c>
      <c r="AZ27" s="96"/>
      <c r="BA27" s="119" t="s">
        <v>11</v>
      </c>
      <c r="BF27" s="89"/>
      <c r="BG27" s="89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7"/>
      <c r="CW27" s="86"/>
    </row>
    <row r="28" spans="2:101" x14ac:dyDescent="0.35">
      <c r="C28" s="122" t="s">
        <v>261</v>
      </c>
      <c r="D28" s="275"/>
      <c r="E28" s="426"/>
      <c r="P28" s="239" t="s">
        <v>212</v>
      </c>
      <c r="Q28" s="429"/>
      <c r="R28" s="240" t="s">
        <v>205</v>
      </c>
      <c r="S28" s="240" t="s">
        <v>206</v>
      </c>
      <c r="T28" s="240"/>
      <c r="U28" s="240" t="s">
        <v>207</v>
      </c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1"/>
      <c r="AT28" s="120">
        <v>8760</v>
      </c>
      <c r="AU28" s="124"/>
      <c r="AV28" s="102" t="e">
        <f>#REF!*1000/8760*AT28/0.8+#REF!</f>
        <v>#REF!</v>
      </c>
      <c r="AW28" s="102"/>
      <c r="AX28" s="124" t="s">
        <v>10</v>
      </c>
      <c r="AY28" s="102" t="e">
        <f>#REF!*1000/8760*AT28/0.8+#REF!</f>
        <v>#REF!</v>
      </c>
      <c r="AZ28" s="102"/>
      <c r="BA28" s="121" t="s">
        <v>11</v>
      </c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7"/>
    </row>
    <row r="29" spans="2:101" x14ac:dyDescent="0.35">
      <c r="C29" s="93" t="s">
        <v>262</v>
      </c>
      <c r="D29" s="274">
        <v>0.05</v>
      </c>
      <c r="E29" s="274"/>
      <c r="P29" s="242" t="s">
        <v>52</v>
      </c>
      <c r="Q29" s="243"/>
      <c r="R29" s="84">
        <v>0.45</v>
      </c>
      <c r="S29" s="84">
        <v>0.40049999999679597</v>
      </c>
      <c r="U29" s="84">
        <v>0.40400000000000003</v>
      </c>
      <c r="AJ29" s="244"/>
      <c r="BB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7"/>
    </row>
    <row r="30" spans="2:101" x14ac:dyDescent="0.35">
      <c r="C30" s="93" t="s">
        <v>264</v>
      </c>
      <c r="D30" s="274">
        <v>0</v>
      </c>
      <c r="E30" s="274"/>
      <c r="F30" s="84" t="s">
        <v>263</v>
      </c>
      <c r="P30" s="242" t="s">
        <v>53</v>
      </c>
      <c r="Q30" s="243"/>
      <c r="R30" s="84">
        <v>0.32</v>
      </c>
      <c r="S30" s="84">
        <v>0.33947999999728412</v>
      </c>
      <c r="U30" s="84">
        <v>0.33700000000000002</v>
      </c>
      <c r="AJ30" s="244"/>
      <c r="BB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7"/>
    </row>
    <row r="31" spans="2:101" x14ac:dyDescent="0.35">
      <c r="C31" s="219"/>
      <c r="D31" s="277"/>
      <c r="E31" s="420"/>
      <c r="P31" s="242" t="s">
        <v>54</v>
      </c>
      <c r="Q31" s="243"/>
      <c r="R31" s="84">
        <v>0.27</v>
      </c>
      <c r="S31" s="84">
        <v>0.20087999999839296</v>
      </c>
      <c r="U31" s="84">
        <v>0.20100000000000001</v>
      </c>
      <c r="AJ31" s="244"/>
      <c r="BB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7"/>
    </row>
    <row r="32" spans="2:101" x14ac:dyDescent="0.35">
      <c r="C32" s="109" t="s">
        <v>62</v>
      </c>
      <c r="D32" s="119">
        <v>20</v>
      </c>
      <c r="E32" s="419"/>
      <c r="F32" s="84" t="s">
        <v>259</v>
      </c>
      <c r="P32" s="242"/>
      <c r="Q32" s="243"/>
      <c r="AJ32" s="244"/>
      <c r="BB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7"/>
    </row>
    <row r="33" spans="3:100" x14ac:dyDescent="0.35">
      <c r="C33" s="101" t="s">
        <v>136</v>
      </c>
      <c r="D33" s="166">
        <v>0.8</v>
      </c>
      <c r="E33" s="427"/>
      <c r="F33" s="84" t="s">
        <v>260</v>
      </c>
      <c r="P33" s="242"/>
      <c r="Q33" s="243"/>
      <c r="AJ33" s="244"/>
      <c r="AV33" s="91"/>
      <c r="AW33" s="91"/>
      <c r="AX33" s="91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7"/>
    </row>
    <row r="34" spans="3:100" x14ac:dyDescent="0.35">
      <c r="C34" s="120" t="s">
        <v>137</v>
      </c>
      <c r="D34" s="167">
        <v>1</v>
      </c>
      <c r="E34" s="428"/>
      <c r="F34" s="84" t="s">
        <v>260</v>
      </c>
      <c r="P34" s="242"/>
      <c r="Q34" s="243"/>
      <c r="AJ34" s="244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7"/>
    </row>
    <row r="35" spans="3:100" x14ac:dyDescent="0.35">
      <c r="P35" s="242"/>
      <c r="Q35" s="243"/>
      <c r="AJ35" s="244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</row>
    <row r="36" spans="3:100" x14ac:dyDescent="0.35">
      <c r="P36" s="242"/>
      <c r="Q36" s="243"/>
      <c r="AJ36" s="244"/>
    </row>
    <row r="37" spans="3:100" x14ac:dyDescent="0.35">
      <c r="C37" s="234"/>
      <c r="P37" s="242"/>
      <c r="Q37" s="243"/>
      <c r="AJ37" s="244"/>
    </row>
    <row r="38" spans="3:100" x14ac:dyDescent="0.35">
      <c r="C38" s="234"/>
      <c r="P38" s="242"/>
      <c r="Q38" s="243"/>
      <c r="AJ38" s="244"/>
    </row>
    <row r="39" spans="3:100" x14ac:dyDescent="0.35">
      <c r="C39" s="234"/>
      <c r="P39" s="242"/>
      <c r="Q39" s="243"/>
      <c r="AJ39" s="244"/>
    </row>
    <row r="40" spans="3:100" x14ac:dyDescent="0.35">
      <c r="P40" s="242"/>
      <c r="Q40" s="243"/>
      <c r="AJ40" s="244"/>
    </row>
    <row r="41" spans="3:100" x14ac:dyDescent="0.35">
      <c r="P41" s="242"/>
      <c r="Q41" s="243"/>
      <c r="AJ41" s="244"/>
    </row>
    <row r="42" spans="3:100" x14ac:dyDescent="0.35">
      <c r="P42" s="242"/>
      <c r="Q42" s="243"/>
      <c r="AJ42" s="244"/>
    </row>
    <row r="43" spans="3:100" x14ac:dyDescent="0.35">
      <c r="P43" s="242"/>
      <c r="Q43" s="243"/>
      <c r="AJ43" s="244"/>
    </row>
    <row r="44" spans="3:100" ht="14.75" customHeight="1" x14ac:dyDescent="0.35">
      <c r="P44" s="245" t="s">
        <v>208</v>
      </c>
      <c r="Q44" s="430"/>
      <c r="R44" s="84" t="s">
        <v>209</v>
      </c>
      <c r="AJ44" s="244"/>
    </row>
    <row r="45" spans="3:100" x14ac:dyDescent="0.35">
      <c r="P45" s="246" t="s">
        <v>210</v>
      </c>
      <c r="Q45" s="247"/>
      <c r="R45" s="247" t="s">
        <v>211</v>
      </c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8"/>
    </row>
    <row r="49" spans="21:21" x14ac:dyDescent="0.35">
      <c r="U49" s="84" t="s">
        <v>197</v>
      </c>
    </row>
  </sheetData>
  <mergeCells count="5">
    <mergeCell ref="D1:G1"/>
    <mergeCell ref="P1:S1"/>
    <mergeCell ref="U1:X1"/>
    <mergeCell ref="AB1:AE1"/>
    <mergeCell ref="J1:M1"/>
  </mergeCells>
  <phoneticPr fontId="33" type="noConversion"/>
  <conditionalFormatting sqref="AV4:BD11 AV14:BD17 AV19:BD23">
    <cfRule type="containsText" dxfId="13" priority="11" operator="containsText" text="&quot;&quot;">
      <formula>NOT(ISERROR(SEARCH("""""",AV4)))</formula>
    </cfRule>
    <cfRule type="cellIs" dxfId="12" priority="12" operator="equal">
      <formula>0</formula>
    </cfRule>
  </conditionalFormatting>
  <conditionalFormatting sqref="AV12:BD13">
    <cfRule type="containsText" dxfId="11" priority="9" operator="containsText" text="&quot;&quot;">
      <formula>NOT(ISERROR(SEARCH("""""",AV12)))</formula>
    </cfRule>
    <cfRule type="cellIs" dxfId="10" priority="10" operator="equal">
      <formula>0</formula>
    </cfRule>
  </conditionalFormatting>
  <conditionalFormatting sqref="AR12:AU13">
    <cfRule type="containsText" dxfId="9" priority="5" operator="containsText" text="&quot;&quot;">
      <formula>NOT(ISERROR(SEARCH("""""",AR12)))</formula>
    </cfRule>
    <cfRule type="cellIs" dxfId="8" priority="6" operator="equal">
      <formula>0</formula>
    </cfRule>
  </conditionalFormatting>
  <conditionalFormatting sqref="AR4:AU11 AR14:AU17 AR19:AU23">
    <cfRule type="containsText" dxfId="7" priority="7" operator="containsText" text="&quot;&quot;">
      <formula>NOT(ISERROR(SEARCH("""""",AR4)))</formula>
    </cfRule>
    <cfRule type="cellIs" dxfId="6" priority="8" operator="equal">
      <formula>0</formula>
    </cfRule>
  </conditionalFormatting>
  <conditionalFormatting sqref="AV18:BD18">
    <cfRule type="containsText" dxfId="5" priority="3" operator="containsText" text="&quot;&quot;">
      <formula>NOT(ISERROR(SEARCH("""""",AV18)))</formula>
    </cfRule>
    <cfRule type="cellIs" dxfId="4" priority="4" operator="equal">
      <formula>0</formula>
    </cfRule>
  </conditionalFormatting>
  <conditionalFormatting sqref="AR18:AU18">
    <cfRule type="containsText" dxfId="3" priority="1" operator="containsText" text="&quot;&quot;">
      <formula>NOT(ISERROR(SEARCH("""""",AR18)))</formula>
    </cfRule>
    <cfRule type="cellIs" dxfId="2" priority="2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9"/>
  </sheetPr>
  <dimension ref="A1:P312"/>
  <sheetViews>
    <sheetView workbookViewId="0">
      <selection activeCell="R47" sqref="R47"/>
    </sheetView>
  </sheetViews>
  <sheetFormatPr baseColWidth="10" defaultColWidth="10.7265625" defaultRowHeight="12.5" x14ac:dyDescent="0.25"/>
  <cols>
    <col min="3" max="3" width="12.54296875" customWidth="1"/>
    <col min="4" max="9" width="7.26953125" customWidth="1"/>
    <col min="11" max="16" width="7.26953125" customWidth="1"/>
  </cols>
  <sheetData>
    <row r="1" spans="1:16" ht="22.5" customHeight="1" x14ac:dyDescent="0.25">
      <c r="A1" s="566" t="s">
        <v>29</v>
      </c>
      <c r="B1" s="566"/>
      <c r="C1" s="566"/>
      <c r="D1" s="566"/>
      <c r="E1" s="566"/>
      <c r="F1" s="566"/>
      <c r="G1" s="566"/>
      <c r="H1" s="566"/>
      <c r="I1" s="566"/>
    </row>
    <row r="2" spans="1:16" ht="29.25" customHeight="1" thickBot="1" x14ac:dyDescent="0.3">
      <c r="A2" s="1"/>
      <c r="B2" s="2"/>
      <c r="C2" s="1"/>
      <c r="D2" s="30" t="s">
        <v>34</v>
      </c>
      <c r="E2" s="3">
        <v>2015</v>
      </c>
      <c r="F2" s="3">
        <v>2020</v>
      </c>
      <c r="G2" s="3">
        <v>2030</v>
      </c>
      <c r="H2" s="3">
        <v>2040</v>
      </c>
      <c r="I2" s="3">
        <v>2050</v>
      </c>
      <c r="J2" s="2"/>
      <c r="K2" s="30" t="s">
        <v>34</v>
      </c>
      <c r="L2" s="3">
        <v>2015</v>
      </c>
      <c r="M2" s="3">
        <v>2020</v>
      </c>
      <c r="N2" s="3">
        <v>2030</v>
      </c>
      <c r="O2" s="3">
        <v>2040</v>
      </c>
      <c r="P2" s="3">
        <v>2050</v>
      </c>
    </row>
    <row r="3" spans="1:16" ht="12.75" customHeight="1" thickTop="1" x14ac:dyDescent="0.3">
      <c r="A3" s="555" t="s">
        <v>16</v>
      </c>
      <c r="B3" s="567" t="s">
        <v>23</v>
      </c>
      <c r="C3" s="31" t="s">
        <v>30</v>
      </c>
      <c r="D3" s="32"/>
      <c r="E3" s="32"/>
      <c r="F3" s="32"/>
      <c r="G3" s="33"/>
      <c r="H3" s="33"/>
      <c r="I3" s="34"/>
      <c r="J3" s="558" t="s">
        <v>17</v>
      </c>
      <c r="K3" s="44"/>
      <c r="L3" s="44"/>
      <c r="M3" s="44"/>
      <c r="N3" s="45"/>
      <c r="O3" s="45"/>
      <c r="P3" s="46"/>
    </row>
    <row r="4" spans="1:16" ht="12.75" customHeight="1" x14ac:dyDescent="0.3">
      <c r="A4" s="556"/>
      <c r="B4" s="559"/>
      <c r="C4" s="35" t="s">
        <v>31</v>
      </c>
      <c r="D4" s="36"/>
      <c r="E4" s="36"/>
      <c r="F4" s="36"/>
      <c r="G4" s="37"/>
      <c r="H4" s="37"/>
      <c r="I4" s="38"/>
      <c r="J4" s="559"/>
      <c r="K4" s="36"/>
      <c r="L4" s="36"/>
      <c r="M4" s="36"/>
      <c r="N4" s="37"/>
      <c r="O4" s="37"/>
      <c r="P4" s="38"/>
    </row>
    <row r="5" spans="1:16" ht="12.75" customHeight="1" x14ac:dyDescent="0.3">
      <c r="A5" s="556"/>
      <c r="B5" s="559"/>
      <c r="C5" s="35" t="s">
        <v>18</v>
      </c>
      <c r="D5" s="36"/>
      <c r="E5" s="36"/>
      <c r="F5" s="36"/>
      <c r="G5" s="37"/>
      <c r="H5" s="37"/>
      <c r="I5" s="38"/>
      <c r="J5" s="560"/>
      <c r="K5" s="36"/>
      <c r="L5" s="36"/>
      <c r="M5" s="36"/>
      <c r="N5" s="37"/>
      <c r="O5" s="37"/>
      <c r="P5" s="38"/>
    </row>
    <row r="6" spans="1:16" ht="12.75" customHeight="1" x14ac:dyDescent="0.3">
      <c r="A6" s="556"/>
      <c r="B6" s="559"/>
      <c r="C6" s="35" t="s">
        <v>19</v>
      </c>
      <c r="D6" s="36"/>
      <c r="E6" s="36"/>
      <c r="F6" s="36"/>
      <c r="G6" s="37"/>
      <c r="H6" s="37"/>
      <c r="I6" s="38"/>
      <c r="J6" s="560"/>
      <c r="K6" s="36"/>
      <c r="L6" s="36"/>
      <c r="M6" s="36"/>
      <c r="N6" s="37"/>
      <c r="O6" s="37"/>
      <c r="P6" s="38"/>
    </row>
    <row r="7" spans="1:16" ht="12.75" customHeight="1" x14ac:dyDescent="0.3">
      <c r="A7" s="556"/>
      <c r="B7" s="559"/>
      <c r="C7" s="35" t="s">
        <v>20</v>
      </c>
      <c r="D7" s="36"/>
      <c r="E7" s="36"/>
      <c r="F7" s="36"/>
      <c r="G7" s="37"/>
      <c r="H7" s="37"/>
      <c r="I7" s="38"/>
      <c r="J7" s="560"/>
      <c r="K7" s="36"/>
      <c r="L7" s="36"/>
      <c r="M7" s="36"/>
      <c r="N7" s="37"/>
      <c r="O7" s="37"/>
      <c r="P7" s="38"/>
    </row>
    <row r="8" spans="1:16" ht="12.75" customHeight="1" x14ac:dyDescent="0.3">
      <c r="A8" s="556"/>
      <c r="B8" s="559"/>
      <c r="C8" s="35" t="s">
        <v>21</v>
      </c>
      <c r="D8" s="36"/>
      <c r="E8" s="36"/>
      <c r="F8" s="36"/>
      <c r="G8" s="37"/>
      <c r="H8" s="37"/>
      <c r="I8" s="38"/>
      <c r="J8" s="560"/>
      <c r="K8" s="36"/>
      <c r="L8" s="36"/>
      <c r="M8" s="36"/>
      <c r="N8" s="37"/>
      <c r="O8" s="37"/>
      <c r="P8" s="38"/>
    </row>
    <row r="9" spans="1:16" ht="12.75" customHeight="1" x14ac:dyDescent="0.3">
      <c r="A9" s="556"/>
      <c r="B9" s="568"/>
      <c r="C9" s="39" t="s">
        <v>22</v>
      </c>
      <c r="D9" s="40"/>
      <c r="E9" s="40"/>
      <c r="F9" s="40"/>
      <c r="G9" s="41"/>
      <c r="H9" s="41"/>
      <c r="I9" s="42"/>
      <c r="J9" s="561"/>
      <c r="K9" s="40"/>
      <c r="L9" s="40"/>
      <c r="M9" s="40"/>
      <c r="N9" s="41"/>
      <c r="O9" s="41"/>
      <c r="P9" s="42"/>
    </row>
    <row r="10" spans="1:16" ht="12.75" customHeight="1" x14ac:dyDescent="0.3">
      <c r="A10" s="556"/>
      <c r="B10" s="562" t="s">
        <v>23</v>
      </c>
      <c r="C10" s="4" t="s">
        <v>35</v>
      </c>
      <c r="D10" s="8"/>
      <c r="E10" s="9"/>
      <c r="F10" s="9"/>
      <c r="G10" s="22"/>
      <c r="H10" s="22"/>
      <c r="I10" s="10"/>
      <c r="J10" s="562" t="s">
        <v>17</v>
      </c>
      <c r="K10" s="8"/>
      <c r="L10" s="9"/>
      <c r="M10" s="9"/>
      <c r="N10" s="22"/>
      <c r="O10" s="22"/>
      <c r="P10" s="10"/>
    </row>
    <row r="11" spans="1:16" ht="12.75" customHeight="1" x14ac:dyDescent="0.3">
      <c r="A11" s="556"/>
      <c r="B11" s="563"/>
      <c r="C11" s="4" t="s">
        <v>36</v>
      </c>
      <c r="D11" s="8"/>
      <c r="E11" s="9"/>
      <c r="F11" s="9"/>
      <c r="G11" s="22"/>
      <c r="H11" s="22"/>
      <c r="I11" s="10"/>
      <c r="J11" s="563"/>
      <c r="K11" s="8"/>
      <c r="L11" s="9"/>
      <c r="M11" s="9"/>
      <c r="N11" s="22"/>
      <c r="O11" s="22"/>
      <c r="P11" s="10"/>
    </row>
    <row r="12" spans="1:16" ht="12.75" customHeight="1" x14ac:dyDescent="0.3">
      <c r="A12" s="556"/>
      <c r="B12" s="563"/>
      <c r="C12" s="4" t="s">
        <v>37</v>
      </c>
      <c r="D12" s="8"/>
      <c r="E12" s="9"/>
      <c r="F12" s="9"/>
      <c r="G12" s="22"/>
      <c r="H12" s="22"/>
      <c r="I12" s="10"/>
      <c r="J12" s="563"/>
      <c r="K12" s="8"/>
      <c r="L12" s="9"/>
      <c r="M12" s="9"/>
      <c r="N12" s="22"/>
      <c r="O12" s="22"/>
      <c r="P12" s="10"/>
    </row>
    <row r="13" spans="1:16" ht="12.75" customHeight="1" x14ac:dyDescent="0.3">
      <c r="A13" s="556"/>
      <c r="B13" s="563"/>
      <c r="C13" s="4" t="s">
        <v>38</v>
      </c>
      <c r="D13" s="8"/>
      <c r="E13" s="9"/>
      <c r="F13" s="9"/>
      <c r="G13" s="22"/>
      <c r="H13" s="22"/>
      <c r="I13" s="10"/>
      <c r="J13" s="563"/>
      <c r="K13" s="8"/>
      <c r="L13" s="9"/>
      <c r="M13" s="9"/>
      <c r="N13" s="22"/>
      <c r="O13" s="22"/>
      <c r="P13" s="10"/>
    </row>
    <row r="14" spans="1:16" ht="12.75" customHeight="1" x14ac:dyDescent="0.3">
      <c r="A14" s="556"/>
      <c r="B14" s="563"/>
      <c r="C14" s="4" t="s">
        <v>39</v>
      </c>
      <c r="D14" s="8"/>
      <c r="E14" s="9"/>
      <c r="F14" s="9"/>
      <c r="G14" s="22"/>
      <c r="H14" s="22"/>
      <c r="I14" s="10"/>
      <c r="J14" s="563"/>
      <c r="K14" s="8"/>
      <c r="L14" s="9"/>
      <c r="M14" s="9"/>
      <c r="N14" s="22"/>
      <c r="O14" s="22"/>
      <c r="P14" s="10"/>
    </row>
    <row r="15" spans="1:16" ht="12.75" customHeight="1" x14ac:dyDescent="0.3">
      <c r="A15" s="556"/>
      <c r="B15" s="563"/>
      <c r="C15" s="4" t="s">
        <v>40</v>
      </c>
      <c r="D15" s="8"/>
      <c r="E15" s="9"/>
      <c r="F15" s="9"/>
      <c r="G15" s="22"/>
      <c r="H15" s="22"/>
      <c r="I15" s="10"/>
      <c r="J15" s="563"/>
      <c r="K15" s="8"/>
      <c r="L15" s="9"/>
      <c r="M15" s="9"/>
      <c r="N15" s="22"/>
      <c r="O15" s="22"/>
      <c r="P15" s="10"/>
    </row>
    <row r="16" spans="1:16" ht="12.75" customHeight="1" thickBot="1" x14ac:dyDescent="0.35">
      <c r="A16" s="556"/>
      <c r="B16" s="564" t="s">
        <v>28</v>
      </c>
      <c r="C16" s="11" t="s">
        <v>41</v>
      </c>
      <c r="D16" s="11"/>
      <c r="E16" s="11"/>
      <c r="F16" s="11"/>
      <c r="G16" s="23"/>
      <c r="H16" s="23"/>
      <c r="I16" s="12"/>
      <c r="J16" s="47" t="s">
        <v>32</v>
      </c>
      <c r="K16" s="49"/>
      <c r="L16" s="49"/>
      <c r="M16" s="49"/>
      <c r="N16" s="50"/>
      <c r="O16" s="50"/>
      <c r="P16" s="51"/>
    </row>
    <row r="17" spans="1:16" ht="12.75" customHeight="1" thickTop="1" thickBot="1" x14ac:dyDescent="0.35">
      <c r="A17" s="556"/>
      <c r="B17" s="565"/>
      <c r="C17" s="5" t="s">
        <v>24</v>
      </c>
      <c r="D17" s="13"/>
      <c r="E17" s="13"/>
      <c r="F17" s="13"/>
      <c r="G17" s="24"/>
      <c r="H17" s="24"/>
      <c r="I17" s="14"/>
      <c r="J17" s="47"/>
      <c r="K17" s="49"/>
      <c r="L17" s="49"/>
      <c r="M17" s="49"/>
      <c r="N17" s="50"/>
      <c r="O17" s="50"/>
      <c r="P17" s="51"/>
    </row>
    <row r="18" spans="1:16" ht="12.75" customHeight="1" thickTop="1" thickBot="1" x14ac:dyDescent="0.35">
      <c r="A18" s="556"/>
      <c r="B18" s="565"/>
      <c r="C18" s="5" t="s">
        <v>25</v>
      </c>
      <c r="D18" s="13"/>
      <c r="E18" s="13"/>
      <c r="F18" s="13"/>
      <c r="G18" s="24"/>
      <c r="H18" s="24"/>
      <c r="I18" s="14"/>
      <c r="J18" s="47"/>
      <c r="K18" s="49"/>
      <c r="L18" s="49"/>
      <c r="M18" s="49"/>
      <c r="N18" s="50"/>
      <c r="O18" s="50"/>
      <c r="P18" s="51"/>
    </row>
    <row r="19" spans="1:16" ht="12.75" customHeight="1" thickTop="1" thickBot="1" x14ac:dyDescent="0.35">
      <c r="A19" s="556"/>
      <c r="B19" s="565"/>
      <c r="C19" s="5" t="s">
        <v>27</v>
      </c>
      <c r="D19" s="24"/>
      <c r="E19" s="24"/>
      <c r="F19" s="24"/>
      <c r="G19" s="24"/>
      <c r="H19" s="24"/>
      <c r="I19" s="29"/>
      <c r="J19" s="47"/>
      <c r="K19" s="49"/>
      <c r="L19" s="49"/>
      <c r="M19" s="49"/>
      <c r="N19" s="50"/>
      <c r="O19" s="50"/>
      <c r="P19" s="51"/>
    </row>
    <row r="20" spans="1:16" ht="12.75" customHeight="1" thickTop="1" x14ac:dyDescent="0.3">
      <c r="A20" s="556"/>
      <c r="B20" s="545" t="s">
        <v>17</v>
      </c>
      <c r="C20" s="52" t="s">
        <v>30</v>
      </c>
      <c r="D20" s="53"/>
      <c r="E20" s="53"/>
      <c r="F20" s="53"/>
      <c r="G20" s="53"/>
      <c r="H20" s="53"/>
      <c r="I20" s="54"/>
    </row>
    <row r="21" spans="1:16" ht="12.75" customHeight="1" x14ac:dyDescent="0.3">
      <c r="A21" s="556"/>
      <c r="B21" s="546"/>
      <c r="C21" s="55" t="s">
        <v>31</v>
      </c>
      <c r="D21" s="56"/>
      <c r="E21" s="56"/>
      <c r="F21" s="56"/>
      <c r="G21" s="56"/>
      <c r="H21" s="56"/>
      <c r="I21" s="57"/>
    </row>
    <row r="22" spans="1:16" ht="12.75" customHeight="1" x14ac:dyDescent="0.3">
      <c r="A22" s="556"/>
      <c r="B22" s="547"/>
      <c r="C22" s="55" t="s">
        <v>18</v>
      </c>
      <c r="D22" s="56"/>
      <c r="E22" s="56"/>
      <c r="F22" s="56"/>
      <c r="G22" s="56"/>
      <c r="H22" s="56"/>
      <c r="I22" s="57"/>
    </row>
    <row r="23" spans="1:16" ht="12.75" customHeight="1" x14ac:dyDescent="0.3">
      <c r="A23" s="556"/>
      <c r="B23" s="547"/>
      <c r="C23" s="55" t="s">
        <v>19</v>
      </c>
      <c r="D23" s="56"/>
      <c r="E23" s="56"/>
      <c r="F23" s="56"/>
      <c r="G23" s="56"/>
      <c r="H23" s="56"/>
      <c r="I23" s="57"/>
    </row>
    <row r="24" spans="1:16" ht="12.75" customHeight="1" x14ac:dyDescent="0.3">
      <c r="A24" s="556"/>
      <c r="B24" s="547"/>
      <c r="C24" s="55" t="s">
        <v>20</v>
      </c>
      <c r="D24" s="56"/>
      <c r="E24" s="56"/>
      <c r="F24" s="56"/>
      <c r="G24" s="56"/>
      <c r="H24" s="56"/>
      <c r="I24" s="57"/>
    </row>
    <row r="25" spans="1:16" ht="12.75" customHeight="1" x14ac:dyDescent="0.3">
      <c r="A25" s="556"/>
      <c r="B25" s="547"/>
      <c r="C25" s="55" t="s">
        <v>21</v>
      </c>
      <c r="D25" s="56"/>
      <c r="E25" s="56"/>
      <c r="F25" s="56"/>
      <c r="G25" s="56"/>
      <c r="H25" s="56"/>
      <c r="I25" s="57"/>
    </row>
    <row r="26" spans="1:16" ht="12.75" customHeight="1" x14ac:dyDescent="0.3">
      <c r="A26" s="556"/>
      <c r="B26" s="548"/>
      <c r="C26" s="58" t="s">
        <v>22</v>
      </c>
      <c r="D26" s="59"/>
      <c r="E26" s="59"/>
      <c r="F26" s="59"/>
      <c r="G26" s="59"/>
      <c r="H26" s="59"/>
      <c r="I26" s="60"/>
    </row>
    <row r="27" spans="1:16" ht="12.75" customHeight="1" x14ac:dyDescent="0.3">
      <c r="A27" s="556"/>
      <c r="B27" s="549" t="s">
        <v>17</v>
      </c>
      <c r="C27" s="7" t="s">
        <v>35</v>
      </c>
      <c r="D27" s="15"/>
      <c r="E27" s="16"/>
      <c r="F27" s="16"/>
      <c r="G27" s="16"/>
      <c r="H27" s="16"/>
      <c r="I27" s="17"/>
    </row>
    <row r="28" spans="1:16" ht="12.75" customHeight="1" x14ac:dyDescent="0.3">
      <c r="A28" s="556"/>
      <c r="B28" s="550"/>
      <c r="C28" s="7" t="s">
        <v>36</v>
      </c>
      <c r="D28" s="15"/>
      <c r="E28" s="16"/>
      <c r="F28" s="16"/>
      <c r="G28" s="16"/>
      <c r="H28" s="16"/>
      <c r="I28" s="17"/>
    </row>
    <row r="29" spans="1:16" ht="12.75" customHeight="1" x14ac:dyDescent="0.3">
      <c r="A29" s="556"/>
      <c r="B29" s="550"/>
      <c r="C29" s="7" t="s">
        <v>37</v>
      </c>
      <c r="D29" s="15"/>
      <c r="E29" s="16"/>
      <c r="F29" s="16"/>
      <c r="G29" s="16"/>
      <c r="H29" s="16"/>
      <c r="I29" s="17"/>
    </row>
    <row r="30" spans="1:16" ht="12.75" customHeight="1" x14ac:dyDescent="0.3">
      <c r="A30" s="556"/>
      <c r="B30" s="550"/>
      <c r="C30" s="7" t="s">
        <v>38</v>
      </c>
      <c r="D30" s="15"/>
      <c r="E30" s="16"/>
      <c r="F30" s="16"/>
      <c r="G30" s="16"/>
      <c r="H30" s="16"/>
      <c r="I30" s="17"/>
    </row>
    <row r="31" spans="1:16" ht="12.75" customHeight="1" x14ac:dyDescent="0.3">
      <c r="A31" s="556"/>
      <c r="B31" s="550"/>
      <c r="C31" s="7" t="s">
        <v>39</v>
      </c>
      <c r="D31" s="15"/>
      <c r="E31" s="16"/>
      <c r="F31" s="16"/>
      <c r="G31" s="16"/>
      <c r="H31" s="16"/>
      <c r="I31" s="17"/>
    </row>
    <row r="32" spans="1:16" ht="12.75" customHeight="1" thickBot="1" x14ac:dyDescent="0.35">
      <c r="A32" s="557"/>
      <c r="B32" s="550"/>
      <c r="C32" s="7" t="s">
        <v>40</v>
      </c>
      <c r="D32" s="15"/>
      <c r="E32" s="16"/>
      <c r="F32" s="16"/>
      <c r="G32" s="16"/>
      <c r="H32" s="16"/>
      <c r="I32" s="17"/>
    </row>
    <row r="33" spans="1:9" ht="12.75" customHeight="1" thickTop="1" x14ac:dyDescent="0.3">
      <c r="A33" s="542" t="s">
        <v>26</v>
      </c>
      <c r="B33" s="551" t="s">
        <v>23</v>
      </c>
      <c r="C33" s="61" t="s">
        <v>30</v>
      </c>
      <c r="D33" s="62"/>
      <c r="E33" s="62"/>
      <c r="F33" s="62"/>
      <c r="G33" s="62"/>
      <c r="H33" s="62"/>
      <c r="I33" s="63"/>
    </row>
    <row r="34" spans="1:9" ht="12.75" customHeight="1" x14ac:dyDescent="0.3">
      <c r="A34" s="543"/>
      <c r="B34" s="546"/>
      <c r="C34" s="55" t="s">
        <v>31</v>
      </c>
      <c r="D34" s="56"/>
      <c r="E34" s="56"/>
      <c r="F34" s="56"/>
      <c r="G34" s="56"/>
      <c r="H34" s="56"/>
      <c r="I34" s="57"/>
    </row>
    <row r="35" spans="1:9" ht="12.75" customHeight="1" x14ac:dyDescent="0.3">
      <c r="A35" s="543"/>
      <c r="B35" s="546"/>
      <c r="C35" s="55" t="s">
        <v>18</v>
      </c>
      <c r="D35" s="56"/>
      <c r="E35" s="56"/>
      <c r="F35" s="56"/>
      <c r="G35" s="56"/>
      <c r="H35" s="56"/>
      <c r="I35" s="57"/>
    </row>
    <row r="36" spans="1:9" ht="12.75" customHeight="1" x14ac:dyDescent="0.3">
      <c r="A36" s="543"/>
      <c r="B36" s="546"/>
      <c r="C36" s="55" t="s">
        <v>19</v>
      </c>
      <c r="D36" s="56"/>
      <c r="E36" s="56"/>
      <c r="F36" s="56"/>
      <c r="G36" s="56"/>
      <c r="H36" s="56"/>
      <c r="I36" s="57"/>
    </row>
    <row r="37" spans="1:9" ht="12.75" customHeight="1" x14ac:dyDescent="0.3">
      <c r="A37" s="543"/>
      <c r="B37" s="546"/>
      <c r="C37" s="55" t="s">
        <v>20</v>
      </c>
      <c r="D37" s="56"/>
      <c r="E37" s="56"/>
      <c r="F37" s="56"/>
      <c r="G37" s="56"/>
      <c r="H37" s="56"/>
      <c r="I37" s="57"/>
    </row>
    <row r="38" spans="1:9" ht="12.75" customHeight="1" x14ac:dyDescent="0.3">
      <c r="A38" s="543"/>
      <c r="B38" s="546"/>
      <c r="C38" s="55" t="s">
        <v>21</v>
      </c>
      <c r="D38" s="56"/>
      <c r="E38" s="56"/>
      <c r="F38" s="56"/>
      <c r="G38" s="56"/>
      <c r="H38" s="56"/>
      <c r="I38" s="57"/>
    </row>
    <row r="39" spans="1:9" ht="12.75" customHeight="1" x14ac:dyDescent="0.3">
      <c r="A39" s="543"/>
      <c r="B39" s="552"/>
      <c r="C39" s="58" t="s">
        <v>22</v>
      </c>
      <c r="D39" s="59"/>
      <c r="E39" s="59"/>
      <c r="F39" s="59"/>
      <c r="G39" s="59"/>
      <c r="H39" s="59"/>
      <c r="I39" s="60"/>
    </row>
    <row r="40" spans="1:9" ht="12.75" customHeight="1" x14ac:dyDescent="0.3">
      <c r="A40" s="543"/>
      <c r="B40" s="549" t="s">
        <v>23</v>
      </c>
      <c r="C40" s="7" t="s">
        <v>35</v>
      </c>
      <c r="D40" s="15"/>
      <c r="E40" s="16"/>
      <c r="F40" s="16"/>
      <c r="G40" s="16"/>
      <c r="H40" s="16"/>
      <c r="I40" s="17"/>
    </row>
    <row r="41" spans="1:9" ht="12.75" customHeight="1" x14ac:dyDescent="0.3">
      <c r="A41" s="543"/>
      <c r="B41" s="550"/>
      <c r="C41" s="7" t="s">
        <v>36</v>
      </c>
      <c r="D41" s="15"/>
      <c r="E41" s="16"/>
      <c r="F41" s="16"/>
      <c r="G41" s="16"/>
      <c r="H41" s="16"/>
      <c r="I41" s="17"/>
    </row>
    <row r="42" spans="1:9" ht="12.75" customHeight="1" x14ac:dyDescent="0.3">
      <c r="A42" s="543"/>
      <c r="B42" s="550"/>
      <c r="C42" s="7" t="s">
        <v>37</v>
      </c>
      <c r="D42" s="15"/>
      <c r="E42" s="16"/>
      <c r="F42" s="16"/>
      <c r="G42" s="16"/>
      <c r="H42" s="16"/>
      <c r="I42" s="17"/>
    </row>
    <row r="43" spans="1:9" ht="12.75" customHeight="1" x14ac:dyDescent="0.3">
      <c r="A43" s="543"/>
      <c r="B43" s="550"/>
      <c r="C43" s="7" t="s">
        <v>38</v>
      </c>
      <c r="D43" s="15"/>
      <c r="E43" s="16"/>
      <c r="F43" s="16"/>
      <c r="G43" s="16"/>
      <c r="H43" s="16"/>
      <c r="I43" s="17"/>
    </row>
    <row r="44" spans="1:9" ht="12.75" customHeight="1" x14ac:dyDescent="0.3">
      <c r="A44" s="543"/>
      <c r="B44" s="550"/>
      <c r="C44" s="7" t="s">
        <v>39</v>
      </c>
      <c r="D44" s="15"/>
      <c r="E44" s="16"/>
      <c r="F44" s="16"/>
      <c r="G44" s="16"/>
      <c r="H44" s="16"/>
      <c r="I44" s="17"/>
    </row>
    <row r="45" spans="1:9" ht="12.75" customHeight="1" x14ac:dyDescent="0.3">
      <c r="A45" s="543"/>
      <c r="B45" s="550"/>
      <c r="C45" s="7" t="s">
        <v>40</v>
      </c>
      <c r="D45" s="15"/>
      <c r="E45" s="16"/>
      <c r="F45" s="16"/>
      <c r="G45" s="16"/>
      <c r="H45" s="16"/>
      <c r="I45" s="17"/>
    </row>
    <row r="46" spans="1:9" ht="12.75" customHeight="1" x14ac:dyDescent="0.3">
      <c r="A46" s="543"/>
      <c r="B46" s="553" t="s">
        <v>28</v>
      </c>
      <c r="C46" s="18" t="s">
        <v>41</v>
      </c>
      <c r="D46" s="18"/>
      <c r="E46" s="18"/>
      <c r="F46" s="18"/>
      <c r="G46" s="18"/>
      <c r="H46" s="18"/>
      <c r="I46" s="19"/>
    </row>
    <row r="47" spans="1:9" ht="12.75" customHeight="1" x14ac:dyDescent="0.3">
      <c r="A47" s="543"/>
      <c r="B47" s="554"/>
      <c r="C47" s="6" t="s">
        <v>24</v>
      </c>
      <c r="D47" s="20"/>
      <c r="E47" s="20"/>
      <c r="F47" s="20"/>
      <c r="G47" s="20"/>
      <c r="H47" s="20"/>
      <c r="I47" s="21"/>
    </row>
    <row r="48" spans="1:9" ht="12.75" customHeight="1" x14ac:dyDescent="0.3">
      <c r="A48" s="543"/>
      <c r="B48" s="554"/>
      <c r="C48" s="6" t="s">
        <v>25</v>
      </c>
      <c r="D48" s="20"/>
      <c r="E48" s="20"/>
      <c r="F48" s="20"/>
      <c r="G48" s="20"/>
      <c r="H48" s="20"/>
      <c r="I48" s="21"/>
    </row>
    <row r="49" spans="1:9" ht="12.75" customHeight="1" x14ac:dyDescent="0.3">
      <c r="A49" s="543"/>
      <c r="B49" s="554"/>
      <c r="C49" s="6" t="s">
        <v>27</v>
      </c>
      <c r="D49" s="20"/>
      <c r="E49" s="20"/>
      <c r="F49" s="20"/>
      <c r="G49" s="20"/>
      <c r="H49" s="20"/>
      <c r="I49" s="21"/>
    </row>
    <row r="50" spans="1:9" ht="12.75" customHeight="1" thickBot="1" x14ac:dyDescent="0.35">
      <c r="A50" s="543"/>
      <c r="B50" s="64" t="s">
        <v>32</v>
      </c>
      <c r="C50" s="65" t="s">
        <v>33</v>
      </c>
      <c r="D50" s="66"/>
      <c r="E50" s="66"/>
      <c r="F50" s="66"/>
      <c r="G50" s="66"/>
      <c r="H50" s="66"/>
      <c r="I50" s="67"/>
    </row>
    <row r="51" spans="1:9" ht="12.75" customHeight="1" thickTop="1" x14ac:dyDescent="0.3">
      <c r="A51" s="543"/>
      <c r="B51" s="558" t="s">
        <v>17</v>
      </c>
      <c r="C51" s="43" t="s">
        <v>30</v>
      </c>
      <c r="D51" s="44"/>
      <c r="E51" s="44"/>
      <c r="F51" s="44"/>
      <c r="G51" s="45"/>
      <c r="H51" s="45"/>
      <c r="I51" s="46"/>
    </row>
    <row r="52" spans="1:9" ht="12.75" customHeight="1" x14ac:dyDescent="0.3">
      <c r="A52" s="543"/>
      <c r="B52" s="559"/>
      <c r="C52" s="35" t="s">
        <v>31</v>
      </c>
      <c r="D52" s="36"/>
      <c r="E52" s="36"/>
      <c r="F52" s="36"/>
      <c r="G52" s="37"/>
      <c r="H52" s="37"/>
      <c r="I52" s="38"/>
    </row>
    <row r="53" spans="1:9" ht="12.75" customHeight="1" x14ac:dyDescent="0.3">
      <c r="A53" s="543"/>
      <c r="B53" s="560"/>
      <c r="C53" s="35" t="s">
        <v>18</v>
      </c>
      <c r="D53" s="36"/>
      <c r="E53" s="36"/>
      <c r="F53" s="36"/>
      <c r="G53" s="37"/>
      <c r="H53" s="37"/>
      <c r="I53" s="38"/>
    </row>
    <row r="54" spans="1:9" ht="12.75" customHeight="1" x14ac:dyDescent="0.3">
      <c r="A54" s="543"/>
      <c r="B54" s="560"/>
      <c r="C54" s="35" t="s">
        <v>19</v>
      </c>
      <c r="D54" s="36"/>
      <c r="E54" s="36"/>
      <c r="F54" s="36"/>
      <c r="G54" s="37"/>
      <c r="H54" s="37"/>
      <c r="I54" s="38"/>
    </row>
    <row r="55" spans="1:9" ht="12.75" customHeight="1" x14ac:dyDescent="0.3">
      <c r="A55" s="543"/>
      <c r="B55" s="560"/>
      <c r="C55" s="35" t="s">
        <v>20</v>
      </c>
      <c r="D55" s="36"/>
      <c r="E55" s="36"/>
      <c r="F55" s="36"/>
      <c r="G55" s="37"/>
      <c r="H55" s="37"/>
      <c r="I55" s="38"/>
    </row>
    <row r="56" spans="1:9" ht="12.75" customHeight="1" x14ac:dyDescent="0.3">
      <c r="A56" s="543"/>
      <c r="B56" s="560"/>
      <c r="C56" s="35" t="s">
        <v>21</v>
      </c>
      <c r="D56" s="36"/>
      <c r="E56" s="36"/>
      <c r="F56" s="36"/>
      <c r="G56" s="37"/>
      <c r="H56" s="37"/>
      <c r="I56" s="38"/>
    </row>
    <row r="57" spans="1:9" ht="12.75" customHeight="1" x14ac:dyDescent="0.3">
      <c r="A57" s="543"/>
      <c r="B57" s="561"/>
      <c r="C57" s="39" t="s">
        <v>22</v>
      </c>
      <c r="D57" s="40"/>
      <c r="E57" s="40"/>
      <c r="F57" s="40"/>
      <c r="G57" s="41"/>
      <c r="H57" s="41"/>
      <c r="I57" s="42"/>
    </row>
    <row r="58" spans="1:9" ht="12.75" customHeight="1" x14ac:dyDescent="0.3">
      <c r="A58" s="543"/>
      <c r="B58" s="562" t="s">
        <v>17</v>
      </c>
      <c r="C58" s="4" t="s">
        <v>35</v>
      </c>
      <c r="D58" s="8"/>
      <c r="E58" s="9"/>
      <c r="F58" s="9"/>
      <c r="G58" s="22"/>
      <c r="H58" s="22"/>
      <c r="I58" s="10"/>
    </row>
    <row r="59" spans="1:9" ht="12.75" customHeight="1" x14ac:dyDescent="0.3">
      <c r="A59" s="543"/>
      <c r="B59" s="563"/>
      <c r="C59" s="4" t="s">
        <v>36</v>
      </c>
      <c r="D59" s="8"/>
      <c r="E59" s="9"/>
      <c r="F59" s="9"/>
      <c r="G59" s="22"/>
      <c r="H59" s="22"/>
      <c r="I59" s="10"/>
    </row>
    <row r="60" spans="1:9" ht="12.75" customHeight="1" x14ac:dyDescent="0.3">
      <c r="A60" s="543"/>
      <c r="B60" s="563"/>
      <c r="C60" s="4" t="s">
        <v>37</v>
      </c>
      <c r="D60" s="8"/>
      <c r="E60" s="9"/>
      <c r="F60" s="9"/>
      <c r="G60" s="22"/>
      <c r="H60" s="22"/>
      <c r="I60" s="10"/>
    </row>
    <row r="61" spans="1:9" ht="12.75" customHeight="1" x14ac:dyDescent="0.3">
      <c r="A61" s="543"/>
      <c r="B61" s="563"/>
      <c r="C61" s="4" t="s">
        <v>38</v>
      </c>
      <c r="D61" s="8"/>
      <c r="E61" s="9"/>
      <c r="F61" s="9"/>
      <c r="G61" s="22"/>
      <c r="H61" s="22"/>
      <c r="I61" s="10"/>
    </row>
    <row r="62" spans="1:9" ht="12.75" customHeight="1" x14ac:dyDescent="0.3">
      <c r="A62" s="543"/>
      <c r="B62" s="563"/>
      <c r="C62" s="4" t="s">
        <v>39</v>
      </c>
      <c r="D62" s="8"/>
      <c r="E62" s="9"/>
      <c r="F62" s="9"/>
      <c r="G62" s="22"/>
      <c r="H62" s="22"/>
      <c r="I62" s="10"/>
    </row>
    <row r="63" spans="1:9" ht="12.75" customHeight="1" thickBot="1" x14ac:dyDescent="0.35">
      <c r="A63" s="544"/>
      <c r="B63" s="563"/>
      <c r="C63" s="4" t="s">
        <v>40</v>
      </c>
      <c r="D63" s="8"/>
      <c r="E63" s="9"/>
      <c r="F63" s="9"/>
      <c r="G63" s="22"/>
      <c r="H63" s="22"/>
      <c r="I63" s="10"/>
    </row>
    <row r="64" spans="1:9" ht="12.75" customHeight="1" thickTop="1" x14ac:dyDescent="0.3">
      <c r="A64" s="555" t="s">
        <v>43</v>
      </c>
      <c r="B64" s="567" t="s">
        <v>23</v>
      </c>
      <c r="C64" s="31" t="s">
        <v>30</v>
      </c>
      <c r="D64" s="32"/>
      <c r="E64" s="32"/>
      <c r="F64" s="32"/>
      <c r="G64" s="33"/>
      <c r="H64" s="33"/>
      <c r="I64" s="34"/>
    </row>
    <row r="65" spans="1:9" ht="12.75" customHeight="1" x14ac:dyDescent="0.3">
      <c r="A65" s="556"/>
      <c r="B65" s="559"/>
      <c r="C65" s="35" t="s">
        <v>31</v>
      </c>
      <c r="D65" s="36"/>
      <c r="E65" s="36"/>
      <c r="F65" s="36"/>
      <c r="G65" s="37"/>
      <c r="H65" s="37"/>
      <c r="I65" s="38"/>
    </row>
    <row r="66" spans="1:9" ht="12.75" customHeight="1" x14ac:dyDescent="0.3">
      <c r="A66" s="556"/>
      <c r="B66" s="559"/>
      <c r="C66" s="35" t="s">
        <v>18</v>
      </c>
      <c r="D66" s="36"/>
      <c r="E66" s="36"/>
      <c r="F66" s="36"/>
      <c r="G66" s="37"/>
      <c r="H66" s="37"/>
      <c r="I66" s="38"/>
    </row>
    <row r="67" spans="1:9" ht="12.75" customHeight="1" x14ac:dyDescent="0.3">
      <c r="A67" s="556"/>
      <c r="B67" s="559"/>
      <c r="C67" s="35" t="s">
        <v>19</v>
      </c>
      <c r="D67" s="36"/>
      <c r="E67" s="36"/>
      <c r="F67" s="36"/>
      <c r="G67" s="37"/>
      <c r="H67" s="37"/>
      <c r="I67" s="38"/>
    </row>
    <row r="68" spans="1:9" ht="12.75" customHeight="1" x14ac:dyDescent="0.3">
      <c r="A68" s="556"/>
      <c r="B68" s="559"/>
      <c r="C68" s="35" t="s">
        <v>20</v>
      </c>
      <c r="D68" s="36"/>
      <c r="E68" s="36"/>
      <c r="F68" s="36"/>
      <c r="G68" s="37"/>
      <c r="H68" s="37"/>
      <c r="I68" s="38"/>
    </row>
    <row r="69" spans="1:9" ht="12.75" customHeight="1" x14ac:dyDescent="0.3">
      <c r="A69" s="556"/>
      <c r="B69" s="559"/>
      <c r="C69" s="35" t="s">
        <v>21</v>
      </c>
      <c r="D69" s="36"/>
      <c r="E69" s="36"/>
      <c r="F69" s="36"/>
      <c r="G69" s="37"/>
      <c r="H69" s="37"/>
      <c r="I69" s="38"/>
    </row>
    <row r="70" spans="1:9" ht="12.75" customHeight="1" x14ac:dyDescent="0.3">
      <c r="A70" s="556"/>
      <c r="B70" s="568"/>
      <c r="C70" s="39" t="s">
        <v>22</v>
      </c>
      <c r="D70" s="40"/>
      <c r="E70" s="40"/>
      <c r="F70" s="40"/>
      <c r="G70" s="41"/>
      <c r="H70" s="41"/>
      <c r="I70" s="42"/>
    </row>
    <row r="71" spans="1:9" ht="12.75" customHeight="1" x14ac:dyDescent="0.3">
      <c r="A71" s="556"/>
      <c r="B71" s="562" t="s">
        <v>23</v>
      </c>
      <c r="C71" s="4" t="s">
        <v>35</v>
      </c>
      <c r="D71" s="8"/>
      <c r="E71" s="9"/>
      <c r="F71" s="9"/>
      <c r="G71" s="22"/>
      <c r="H71" s="22"/>
      <c r="I71" s="10"/>
    </row>
    <row r="72" spans="1:9" ht="12.75" customHeight="1" x14ac:dyDescent="0.3">
      <c r="A72" s="556"/>
      <c r="B72" s="563"/>
      <c r="C72" s="4" t="s">
        <v>36</v>
      </c>
      <c r="D72" s="8"/>
      <c r="E72" s="9"/>
      <c r="F72" s="9"/>
      <c r="G72" s="22"/>
      <c r="H72" s="22"/>
      <c r="I72" s="10"/>
    </row>
    <row r="73" spans="1:9" ht="12.75" customHeight="1" x14ac:dyDescent="0.3">
      <c r="A73" s="556"/>
      <c r="B73" s="563"/>
      <c r="C73" s="4" t="s">
        <v>37</v>
      </c>
      <c r="D73" s="8"/>
      <c r="E73" s="9"/>
      <c r="F73" s="9"/>
      <c r="G73" s="22"/>
      <c r="H73" s="22"/>
      <c r="I73" s="10"/>
    </row>
    <row r="74" spans="1:9" ht="12.75" customHeight="1" x14ac:dyDescent="0.3">
      <c r="A74" s="556"/>
      <c r="B74" s="563"/>
      <c r="C74" s="4" t="s">
        <v>38</v>
      </c>
      <c r="D74" s="8"/>
      <c r="E74" s="9"/>
      <c r="F74" s="9"/>
      <c r="G74" s="22"/>
      <c r="H74" s="22"/>
      <c r="I74" s="10"/>
    </row>
    <row r="75" spans="1:9" ht="12.75" customHeight="1" x14ac:dyDescent="0.3">
      <c r="A75" s="556"/>
      <c r="B75" s="563"/>
      <c r="C75" s="4" t="s">
        <v>39</v>
      </c>
      <c r="D75" s="8"/>
      <c r="E75" s="9"/>
      <c r="F75" s="9"/>
      <c r="G75" s="22"/>
      <c r="H75" s="22"/>
      <c r="I75" s="10"/>
    </row>
    <row r="76" spans="1:9" ht="12.75" customHeight="1" x14ac:dyDescent="0.3">
      <c r="A76" s="556"/>
      <c r="B76" s="563"/>
      <c r="C76" s="4" t="s">
        <v>40</v>
      </c>
      <c r="D76" s="8"/>
      <c r="E76" s="9"/>
      <c r="F76" s="9"/>
      <c r="G76" s="22"/>
      <c r="H76" s="22"/>
      <c r="I76" s="10"/>
    </row>
    <row r="77" spans="1:9" ht="12.75" customHeight="1" x14ac:dyDescent="0.3">
      <c r="A77" s="556"/>
      <c r="B77" s="564" t="s">
        <v>28</v>
      </c>
      <c r="C77" s="11" t="s">
        <v>41</v>
      </c>
      <c r="D77" s="11"/>
      <c r="E77" s="11"/>
      <c r="F77" s="11"/>
      <c r="G77" s="23"/>
      <c r="H77" s="23"/>
      <c r="I77" s="12"/>
    </row>
    <row r="78" spans="1:9" ht="12.75" customHeight="1" x14ac:dyDescent="0.3">
      <c r="A78" s="556"/>
      <c r="B78" s="565"/>
      <c r="C78" s="5" t="s">
        <v>24</v>
      </c>
      <c r="D78" s="13"/>
      <c r="E78" s="13"/>
      <c r="F78" s="13"/>
      <c r="G78" s="24"/>
      <c r="H78" s="24"/>
      <c r="I78" s="14"/>
    </row>
    <row r="79" spans="1:9" ht="12.75" customHeight="1" x14ac:dyDescent="0.3">
      <c r="A79" s="556"/>
      <c r="B79" s="565"/>
      <c r="C79" s="5" t="s">
        <v>25</v>
      </c>
      <c r="D79" s="13"/>
      <c r="E79" s="13"/>
      <c r="F79" s="13"/>
      <c r="G79" s="24"/>
      <c r="H79" s="24"/>
      <c r="I79" s="14"/>
    </row>
    <row r="80" spans="1:9" ht="12.75" customHeight="1" x14ac:dyDescent="0.3">
      <c r="A80" s="556"/>
      <c r="B80" s="565"/>
      <c r="C80" s="5" t="s">
        <v>27</v>
      </c>
      <c r="D80" s="24"/>
      <c r="E80" s="24"/>
      <c r="F80" s="24"/>
      <c r="G80" s="24"/>
      <c r="H80" s="24"/>
      <c r="I80" s="29"/>
    </row>
    <row r="81" spans="1:9" ht="12.75" customHeight="1" thickBot="1" x14ac:dyDescent="0.35">
      <c r="A81" s="556"/>
      <c r="B81" s="47" t="s">
        <v>32</v>
      </c>
      <c r="C81" s="48" t="s">
        <v>33</v>
      </c>
      <c r="D81" s="49"/>
      <c r="E81" s="49"/>
      <c r="F81" s="49"/>
      <c r="G81" s="50"/>
      <c r="H81" s="50"/>
      <c r="I81" s="51"/>
    </row>
    <row r="82" spans="1:9" ht="12.75" customHeight="1" thickTop="1" x14ac:dyDescent="0.3">
      <c r="A82" s="556"/>
      <c r="B82" s="545" t="s">
        <v>17</v>
      </c>
      <c r="C82" s="52" t="s">
        <v>30</v>
      </c>
      <c r="D82" s="53"/>
      <c r="E82" s="53"/>
      <c r="F82" s="53"/>
      <c r="G82" s="68"/>
      <c r="H82" s="68"/>
      <c r="I82" s="54"/>
    </row>
    <row r="83" spans="1:9" ht="12.75" customHeight="1" x14ac:dyDescent="0.3">
      <c r="A83" s="556"/>
      <c r="B83" s="546"/>
      <c r="C83" s="55" t="s">
        <v>31</v>
      </c>
      <c r="D83" s="56"/>
      <c r="E83" s="56"/>
      <c r="F83" s="56"/>
      <c r="G83" s="69"/>
      <c r="H83" s="69"/>
      <c r="I83" s="57"/>
    </row>
    <row r="84" spans="1:9" ht="13" x14ac:dyDescent="0.3">
      <c r="A84" s="556"/>
      <c r="B84" s="547"/>
      <c r="C84" s="55" t="s">
        <v>18</v>
      </c>
      <c r="D84" s="56"/>
      <c r="E84" s="56"/>
      <c r="F84" s="56"/>
      <c r="G84" s="69"/>
      <c r="H84" s="69"/>
      <c r="I84" s="57"/>
    </row>
    <row r="85" spans="1:9" ht="13" x14ac:dyDescent="0.3">
      <c r="A85" s="556"/>
      <c r="B85" s="547"/>
      <c r="C85" s="55" t="s">
        <v>19</v>
      </c>
      <c r="D85" s="56"/>
      <c r="E85" s="56"/>
      <c r="F85" s="56"/>
      <c r="G85" s="69"/>
      <c r="H85" s="69"/>
      <c r="I85" s="57"/>
    </row>
    <row r="86" spans="1:9" ht="13" x14ac:dyDescent="0.3">
      <c r="A86" s="556"/>
      <c r="B86" s="547"/>
      <c r="C86" s="55" t="s">
        <v>20</v>
      </c>
      <c r="D86" s="56"/>
      <c r="E86" s="56"/>
      <c r="F86" s="56"/>
      <c r="G86" s="69"/>
      <c r="H86" s="69"/>
      <c r="I86" s="57"/>
    </row>
    <row r="87" spans="1:9" ht="13" x14ac:dyDescent="0.3">
      <c r="A87" s="556"/>
      <c r="B87" s="547"/>
      <c r="C87" s="55" t="s">
        <v>21</v>
      </c>
      <c r="D87" s="56"/>
      <c r="E87" s="56"/>
      <c r="F87" s="56"/>
      <c r="G87" s="69"/>
      <c r="H87" s="69"/>
      <c r="I87" s="57"/>
    </row>
    <row r="88" spans="1:9" ht="13" x14ac:dyDescent="0.3">
      <c r="A88" s="556"/>
      <c r="B88" s="548"/>
      <c r="C88" s="58" t="s">
        <v>22</v>
      </c>
      <c r="D88" s="59"/>
      <c r="E88" s="59"/>
      <c r="F88" s="59"/>
      <c r="G88" s="70"/>
      <c r="H88" s="70"/>
      <c r="I88" s="60"/>
    </row>
    <row r="89" spans="1:9" ht="13" x14ac:dyDescent="0.3">
      <c r="A89" s="556"/>
      <c r="B89" s="549" t="s">
        <v>17</v>
      </c>
      <c r="C89" s="7" t="s">
        <v>35</v>
      </c>
      <c r="D89" s="15"/>
      <c r="E89" s="16"/>
      <c r="F89" s="16"/>
      <c r="G89" s="25"/>
      <c r="H89" s="25"/>
      <c r="I89" s="17"/>
    </row>
    <row r="90" spans="1:9" ht="13" x14ac:dyDescent="0.3">
      <c r="A90" s="556"/>
      <c r="B90" s="550"/>
      <c r="C90" s="7" t="s">
        <v>36</v>
      </c>
      <c r="D90" s="15"/>
      <c r="E90" s="16"/>
      <c r="F90" s="16"/>
      <c r="G90" s="25"/>
      <c r="H90" s="25"/>
      <c r="I90" s="17"/>
    </row>
    <row r="91" spans="1:9" ht="13" x14ac:dyDescent="0.3">
      <c r="A91" s="556"/>
      <c r="B91" s="550"/>
      <c r="C91" s="7" t="s">
        <v>37</v>
      </c>
      <c r="D91" s="15"/>
      <c r="E91" s="16"/>
      <c r="F91" s="16"/>
      <c r="G91" s="25"/>
      <c r="H91" s="25"/>
      <c r="I91" s="17"/>
    </row>
    <row r="92" spans="1:9" ht="13" x14ac:dyDescent="0.3">
      <c r="A92" s="556"/>
      <c r="B92" s="550"/>
      <c r="C92" s="7" t="s">
        <v>38</v>
      </c>
      <c r="D92" s="15"/>
      <c r="E92" s="16"/>
      <c r="F92" s="16"/>
      <c r="G92" s="25"/>
      <c r="H92" s="25"/>
      <c r="I92" s="17"/>
    </row>
    <row r="93" spans="1:9" ht="13" x14ac:dyDescent="0.3">
      <c r="A93" s="556"/>
      <c r="B93" s="550"/>
      <c r="C93" s="7" t="s">
        <v>39</v>
      </c>
      <c r="D93" s="15"/>
      <c r="E93" s="16"/>
      <c r="F93" s="16"/>
      <c r="G93" s="25"/>
      <c r="H93" s="25"/>
      <c r="I93" s="17"/>
    </row>
    <row r="94" spans="1:9" ht="13.5" thickBot="1" x14ac:dyDescent="0.35">
      <c r="A94" s="557"/>
      <c r="B94" s="550"/>
      <c r="C94" s="7" t="s">
        <v>40</v>
      </c>
      <c r="D94" s="15"/>
      <c r="E94" s="16"/>
      <c r="F94" s="16"/>
      <c r="G94" s="25"/>
      <c r="H94" s="25"/>
      <c r="I94" s="17"/>
    </row>
    <row r="95" spans="1:9" ht="13.5" thickTop="1" x14ac:dyDescent="0.3">
      <c r="A95" s="542" t="s">
        <v>44</v>
      </c>
      <c r="B95" s="551" t="s">
        <v>23</v>
      </c>
      <c r="C95" s="61" t="s">
        <v>30</v>
      </c>
      <c r="D95" s="62"/>
      <c r="E95" s="62"/>
      <c r="F95" s="62"/>
      <c r="G95" s="71"/>
      <c r="H95" s="71"/>
      <c r="I95" s="63"/>
    </row>
    <row r="96" spans="1:9" ht="13" x14ac:dyDescent="0.3">
      <c r="A96" s="543"/>
      <c r="B96" s="546"/>
      <c r="C96" s="55" t="s">
        <v>31</v>
      </c>
      <c r="D96" s="56"/>
      <c r="E96" s="56"/>
      <c r="F96" s="56"/>
      <c r="G96" s="69"/>
      <c r="H96" s="69"/>
      <c r="I96" s="57"/>
    </row>
    <row r="97" spans="1:9" ht="13" x14ac:dyDescent="0.3">
      <c r="A97" s="543"/>
      <c r="B97" s="546"/>
      <c r="C97" s="55" t="s">
        <v>18</v>
      </c>
      <c r="D97" s="56"/>
      <c r="E97" s="56"/>
      <c r="F97" s="56"/>
      <c r="G97" s="69"/>
      <c r="H97" s="69"/>
      <c r="I97" s="57"/>
    </row>
    <row r="98" spans="1:9" ht="13" x14ac:dyDescent="0.3">
      <c r="A98" s="543"/>
      <c r="B98" s="546"/>
      <c r="C98" s="55" t="s">
        <v>19</v>
      </c>
      <c r="D98" s="56"/>
      <c r="E98" s="56"/>
      <c r="F98" s="56"/>
      <c r="G98" s="69"/>
      <c r="H98" s="69"/>
      <c r="I98" s="57"/>
    </row>
    <row r="99" spans="1:9" ht="13" x14ac:dyDescent="0.3">
      <c r="A99" s="543"/>
      <c r="B99" s="546"/>
      <c r="C99" s="55" t="s">
        <v>20</v>
      </c>
      <c r="D99" s="56"/>
      <c r="E99" s="56"/>
      <c r="F99" s="56"/>
      <c r="G99" s="69"/>
      <c r="H99" s="69"/>
      <c r="I99" s="57"/>
    </row>
    <row r="100" spans="1:9" ht="13" x14ac:dyDescent="0.3">
      <c r="A100" s="543"/>
      <c r="B100" s="546"/>
      <c r="C100" s="55" t="s">
        <v>21</v>
      </c>
      <c r="D100" s="56"/>
      <c r="E100" s="56"/>
      <c r="F100" s="56"/>
      <c r="G100" s="69"/>
      <c r="H100" s="69"/>
      <c r="I100" s="57"/>
    </row>
    <row r="101" spans="1:9" ht="13" x14ac:dyDescent="0.3">
      <c r="A101" s="543"/>
      <c r="B101" s="552"/>
      <c r="C101" s="58" t="s">
        <v>22</v>
      </c>
      <c r="D101" s="59"/>
      <c r="E101" s="59"/>
      <c r="F101" s="59"/>
      <c r="G101" s="70"/>
      <c r="H101" s="70"/>
      <c r="I101" s="60"/>
    </row>
    <row r="102" spans="1:9" ht="13" x14ac:dyDescent="0.3">
      <c r="A102" s="543"/>
      <c r="B102" s="549" t="s">
        <v>23</v>
      </c>
      <c r="C102" s="7" t="s">
        <v>35</v>
      </c>
      <c r="D102" s="15"/>
      <c r="E102" s="16"/>
      <c r="F102" s="16"/>
      <c r="G102" s="25"/>
      <c r="H102" s="25"/>
      <c r="I102" s="17"/>
    </row>
    <row r="103" spans="1:9" ht="13" x14ac:dyDescent="0.3">
      <c r="A103" s="543"/>
      <c r="B103" s="550"/>
      <c r="C103" s="7" t="s">
        <v>36</v>
      </c>
      <c r="D103" s="15"/>
      <c r="E103" s="16"/>
      <c r="F103" s="16"/>
      <c r="G103" s="25"/>
      <c r="H103" s="25"/>
      <c r="I103" s="17"/>
    </row>
    <row r="104" spans="1:9" ht="13" x14ac:dyDescent="0.3">
      <c r="A104" s="543"/>
      <c r="B104" s="550"/>
      <c r="C104" s="7" t="s">
        <v>37</v>
      </c>
      <c r="D104" s="15"/>
      <c r="E104" s="16"/>
      <c r="F104" s="16"/>
      <c r="G104" s="25"/>
      <c r="H104" s="25"/>
      <c r="I104" s="17"/>
    </row>
    <row r="105" spans="1:9" ht="13" x14ac:dyDescent="0.3">
      <c r="A105" s="543"/>
      <c r="B105" s="550"/>
      <c r="C105" s="7" t="s">
        <v>38</v>
      </c>
      <c r="D105" s="15"/>
      <c r="E105" s="16"/>
      <c r="F105" s="16"/>
      <c r="G105" s="25"/>
      <c r="H105" s="25"/>
      <c r="I105" s="17"/>
    </row>
    <row r="106" spans="1:9" ht="13" x14ac:dyDescent="0.3">
      <c r="A106" s="543"/>
      <c r="B106" s="550"/>
      <c r="C106" s="7" t="s">
        <v>39</v>
      </c>
      <c r="D106" s="15"/>
      <c r="E106" s="16"/>
      <c r="F106" s="16"/>
      <c r="G106" s="25"/>
      <c r="H106" s="25"/>
      <c r="I106" s="17"/>
    </row>
    <row r="107" spans="1:9" ht="13" x14ac:dyDescent="0.3">
      <c r="A107" s="543"/>
      <c r="B107" s="550"/>
      <c r="C107" s="7" t="s">
        <v>40</v>
      </c>
      <c r="D107" s="15"/>
      <c r="E107" s="16"/>
      <c r="F107" s="16"/>
      <c r="G107" s="25"/>
      <c r="H107" s="25"/>
      <c r="I107" s="17"/>
    </row>
    <row r="108" spans="1:9" ht="13" x14ac:dyDescent="0.3">
      <c r="A108" s="543"/>
      <c r="B108" s="553" t="s">
        <v>28</v>
      </c>
      <c r="C108" s="18" t="s">
        <v>41</v>
      </c>
      <c r="D108" s="18"/>
      <c r="E108" s="18"/>
      <c r="F108" s="18"/>
      <c r="G108" s="26"/>
      <c r="H108" s="26"/>
      <c r="I108" s="19"/>
    </row>
    <row r="109" spans="1:9" ht="13" x14ac:dyDescent="0.3">
      <c r="A109" s="543"/>
      <c r="B109" s="554"/>
      <c r="C109" s="6" t="s">
        <v>24</v>
      </c>
      <c r="D109" s="20"/>
      <c r="E109" s="20"/>
      <c r="F109" s="20"/>
      <c r="G109" s="27"/>
      <c r="H109" s="27"/>
      <c r="I109" s="21"/>
    </row>
    <row r="110" spans="1:9" ht="13" x14ac:dyDescent="0.3">
      <c r="A110" s="543"/>
      <c r="B110" s="554"/>
      <c r="C110" s="6" t="s">
        <v>25</v>
      </c>
      <c r="D110" s="20"/>
      <c r="E110" s="20"/>
      <c r="F110" s="20"/>
      <c r="G110" s="27"/>
      <c r="H110" s="27"/>
      <c r="I110" s="21"/>
    </row>
    <row r="111" spans="1:9" ht="13" x14ac:dyDescent="0.3">
      <c r="A111" s="543"/>
      <c r="B111" s="554"/>
      <c r="C111" s="6" t="s">
        <v>27</v>
      </c>
      <c r="D111" s="27"/>
      <c r="E111" s="27"/>
      <c r="F111" s="27"/>
      <c r="G111" s="27"/>
      <c r="H111" s="27"/>
      <c r="I111" s="28"/>
    </row>
    <row r="112" spans="1:9" ht="19" thickBot="1" x14ac:dyDescent="0.35">
      <c r="A112" s="543"/>
      <c r="B112" s="64" t="s">
        <v>32</v>
      </c>
      <c r="C112" s="65" t="s">
        <v>33</v>
      </c>
      <c r="D112" s="66"/>
      <c r="E112" s="66"/>
      <c r="F112" s="66"/>
      <c r="G112" s="72"/>
      <c r="H112" s="72"/>
      <c r="I112" s="67"/>
    </row>
    <row r="113" spans="1:9" ht="13.5" thickTop="1" x14ac:dyDescent="0.3">
      <c r="A113" s="543"/>
      <c r="B113" s="558" t="s">
        <v>17</v>
      </c>
      <c r="C113" s="43" t="s">
        <v>30</v>
      </c>
      <c r="D113" s="44"/>
      <c r="E113" s="44"/>
      <c r="F113" s="44"/>
      <c r="G113" s="45"/>
      <c r="H113" s="45"/>
      <c r="I113" s="46"/>
    </row>
    <row r="114" spans="1:9" ht="13" x14ac:dyDescent="0.3">
      <c r="A114" s="543"/>
      <c r="B114" s="559"/>
      <c r="C114" s="35" t="s">
        <v>31</v>
      </c>
      <c r="D114" s="36"/>
      <c r="E114" s="36"/>
      <c r="F114" s="36"/>
      <c r="G114" s="37"/>
      <c r="H114" s="37"/>
      <c r="I114" s="38"/>
    </row>
    <row r="115" spans="1:9" ht="13" x14ac:dyDescent="0.3">
      <c r="A115" s="543"/>
      <c r="B115" s="560"/>
      <c r="C115" s="35" t="s">
        <v>18</v>
      </c>
      <c r="D115" s="36"/>
      <c r="E115" s="36"/>
      <c r="F115" s="36"/>
      <c r="G115" s="37"/>
      <c r="H115" s="37"/>
      <c r="I115" s="38"/>
    </row>
    <row r="116" spans="1:9" ht="13" x14ac:dyDescent="0.3">
      <c r="A116" s="543"/>
      <c r="B116" s="560"/>
      <c r="C116" s="35" t="s">
        <v>19</v>
      </c>
      <c r="D116" s="36"/>
      <c r="E116" s="36"/>
      <c r="F116" s="36"/>
      <c r="G116" s="37"/>
      <c r="H116" s="37"/>
      <c r="I116" s="38"/>
    </row>
    <row r="117" spans="1:9" ht="13" x14ac:dyDescent="0.3">
      <c r="A117" s="543"/>
      <c r="B117" s="560"/>
      <c r="C117" s="35" t="s">
        <v>20</v>
      </c>
      <c r="D117" s="36"/>
      <c r="E117" s="36"/>
      <c r="F117" s="36"/>
      <c r="G117" s="37"/>
      <c r="H117" s="37"/>
      <c r="I117" s="38"/>
    </row>
    <row r="118" spans="1:9" ht="13" x14ac:dyDescent="0.3">
      <c r="A118" s="543"/>
      <c r="B118" s="560"/>
      <c r="C118" s="35" t="s">
        <v>21</v>
      </c>
      <c r="D118" s="36"/>
      <c r="E118" s="36"/>
      <c r="F118" s="36"/>
      <c r="G118" s="37"/>
      <c r="H118" s="37"/>
      <c r="I118" s="38"/>
    </row>
    <row r="119" spans="1:9" ht="13" x14ac:dyDescent="0.3">
      <c r="A119" s="543"/>
      <c r="B119" s="561"/>
      <c r="C119" s="39" t="s">
        <v>22</v>
      </c>
      <c r="D119" s="40"/>
      <c r="E119" s="40"/>
      <c r="F119" s="40"/>
      <c r="G119" s="41"/>
      <c r="H119" s="41"/>
      <c r="I119" s="42"/>
    </row>
    <row r="120" spans="1:9" ht="13" x14ac:dyDescent="0.3">
      <c r="A120" s="543"/>
      <c r="B120" s="562" t="s">
        <v>17</v>
      </c>
      <c r="C120" s="4" t="s">
        <v>35</v>
      </c>
      <c r="D120" s="8"/>
      <c r="E120" s="9"/>
      <c r="F120" s="9"/>
      <c r="G120" s="22"/>
      <c r="H120" s="22"/>
      <c r="I120" s="10"/>
    </row>
    <row r="121" spans="1:9" ht="13" x14ac:dyDescent="0.3">
      <c r="A121" s="543"/>
      <c r="B121" s="563"/>
      <c r="C121" s="4" t="s">
        <v>36</v>
      </c>
      <c r="D121" s="8"/>
      <c r="E121" s="9"/>
      <c r="F121" s="9"/>
      <c r="G121" s="22"/>
      <c r="H121" s="22"/>
      <c r="I121" s="10"/>
    </row>
    <row r="122" spans="1:9" ht="13" x14ac:dyDescent="0.3">
      <c r="A122" s="543"/>
      <c r="B122" s="563"/>
      <c r="C122" s="4" t="s">
        <v>37</v>
      </c>
      <c r="D122" s="8"/>
      <c r="E122" s="9"/>
      <c r="F122" s="9"/>
      <c r="G122" s="22"/>
      <c r="H122" s="22"/>
      <c r="I122" s="10"/>
    </row>
    <row r="123" spans="1:9" ht="13" x14ac:dyDescent="0.3">
      <c r="A123" s="543"/>
      <c r="B123" s="563"/>
      <c r="C123" s="4" t="s">
        <v>38</v>
      </c>
      <c r="D123" s="8"/>
      <c r="E123" s="9"/>
      <c r="F123" s="9"/>
      <c r="G123" s="22"/>
      <c r="H123" s="22"/>
      <c r="I123" s="10"/>
    </row>
    <row r="124" spans="1:9" ht="13" x14ac:dyDescent="0.3">
      <c r="A124" s="543"/>
      <c r="B124" s="563"/>
      <c r="C124" s="4" t="s">
        <v>39</v>
      </c>
      <c r="D124" s="8"/>
      <c r="E124" s="9"/>
      <c r="F124" s="9"/>
      <c r="G124" s="22"/>
      <c r="H124" s="22"/>
      <c r="I124" s="10"/>
    </row>
    <row r="125" spans="1:9" ht="13.5" thickBot="1" x14ac:dyDescent="0.35">
      <c r="A125" s="544"/>
      <c r="B125" s="563"/>
      <c r="C125" s="4" t="s">
        <v>40</v>
      </c>
      <c r="D125" s="8"/>
      <c r="E125" s="9"/>
      <c r="F125" s="9"/>
      <c r="G125" s="22"/>
      <c r="H125" s="22"/>
      <c r="I125" s="10"/>
    </row>
    <row r="126" spans="1:9" ht="13.5" thickTop="1" x14ac:dyDescent="0.3">
      <c r="A126" s="555" t="s">
        <v>45</v>
      </c>
      <c r="B126" s="567" t="s">
        <v>23</v>
      </c>
      <c r="C126" s="31" t="s">
        <v>30</v>
      </c>
      <c r="D126" s="32"/>
      <c r="E126" s="32"/>
      <c r="F126" s="32"/>
      <c r="G126" s="33"/>
      <c r="H126" s="33"/>
      <c r="I126" s="34"/>
    </row>
    <row r="127" spans="1:9" ht="13" x14ac:dyDescent="0.3">
      <c r="A127" s="556"/>
      <c r="B127" s="559"/>
      <c r="C127" s="35" t="s">
        <v>31</v>
      </c>
      <c r="D127" s="36"/>
      <c r="E127" s="36"/>
      <c r="F127" s="36"/>
      <c r="G127" s="37"/>
      <c r="H127" s="37"/>
      <c r="I127" s="38"/>
    </row>
    <row r="128" spans="1:9" ht="13" x14ac:dyDescent="0.3">
      <c r="A128" s="556"/>
      <c r="B128" s="559"/>
      <c r="C128" s="35" t="s">
        <v>18</v>
      </c>
      <c r="D128" s="36"/>
      <c r="E128" s="36"/>
      <c r="F128" s="36"/>
      <c r="G128" s="37"/>
      <c r="H128" s="37"/>
      <c r="I128" s="38"/>
    </row>
    <row r="129" spans="1:9" ht="13" x14ac:dyDescent="0.3">
      <c r="A129" s="556"/>
      <c r="B129" s="559"/>
      <c r="C129" s="35" t="s">
        <v>19</v>
      </c>
      <c r="D129" s="36"/>
      <c r="E129" s="36"/>
      <c r="F129" s="36"/>
      <c r="G129" s="37"/>
      <c r="H129" s="37"/>
      <c r="I129" s="38"/>
    </row>
    <row r="130" spans="1:9" ht="13" x14ac:dyDescent="0.3">
      <c r="A130" s="556"/>
      <c r="B130" s="559"/>
      <c r="C130" s="35" t="s">
        <v>20</v>
      </c>
      <c r="D130" s="36"/>
      <c r="E130" s="36"/>
      <c r="F130" s="36"/>
      <c r="G130" s="37"/>
      <c r="H130" s="37"/>
      <c r="I130" s="38"/>
    </row>
    <row r="131" spans="1:9" ht="13" x14ac:dyDescent="0.3">
      <c r="A131" s="556"/>
      <c r="B131" s="559"/>
      <c r="C131" s="35" t="s">
        <v>21</v>
      </c>
      <c r="D131" s="36"/>
      <c r="E131" s="36"/>
      <c r="F131" s="36"/>
      <c r="G131" s="37"/>
      <c r="H131" s="37"/>
      <c r="I131" s="38"/>
    </row>
    <row r="132" spans="1:9" ht="13" x14ac:dyDescent="0.3">
      <c r="A132" s="556"/>
      <c r="B132" s="568"/>
      <c r="C132" s="39" t="s">
        <v>22</v>
      </c>
      <c r="D132" s="40"/>
      <c r="E132" s="40"/>
      <c r="F132" s="40"/>
      <c r="G132" s="41"/>
      <c r="H132" s="41"/>
      <c r="I132" s="42"/>
    </row>
    <row r="133" spans="1:9" ht="13" x14ac:dyDescent="0.3">
      <c r="A133" s="556"/>
      <c r="B133" s="562" t="s">
        <v>23</v>
      </c>
      <c r="C133" s="4" t="s">
        <v>35</v>
      </c>
      <c r="D133" s="8"/>
      <c r="E133" s="9"/>
      <c r="F133" s="9"/>
      <c r="G133" s="22"/>
      <c r="H133" s="22"/>
      <c r="I133" s="10"/>
    </row>
    <row r="134" spans="1:9" ht="13" x14ac:dyDescent="0.3">
      <c r="A134" s="556"/>
      <c r="B134" s="563"/>
      <c r="C134" s="4" t="s">
        <v>36</v>
      </c>
      <c r="D134" s="8"/>
      <c r="E134" s="9"/>
      <c r="F134" s="9"/>
      <c r="G134" s="22"/>
      <c r="H134" s="22"/>
      <c r="I134" s="10"/>
    </row>
    <row r="135" spans="1:9" ht="13" x14ac:dyDescent="0.3">
      <c r="A135" s="556"/>
      <c r="B135" s="563"/>
      <c r="C135" s="4" t="s">
        <v>37</v>
      </c>
      <c r="D135" s="8"/>
      <c r="E135" s="9"/>
      <c r="F135" s="9"/>
      <c r="G135" s="22"/>
      <c r="H135" s="22"/>
      <c r="I135" s="10"/>
    </row>
    <row r="136" spans="1:9" ht="13" x14ac:dyDescent="0.3">
      <c r="A136" s="556"/>
      <c r="B136" s="563"/>
      <c r="C136" s="4" t="s">
        <v>38</v>
      </c>
      <c r="D136" s="8"/>
      <c r="E136" s="9"/>
      <c r="F136" s="9"/>
      <c r="G136" s="22"/>
      <c r="H136" s="22"/>
      <c r="I136" s="10"/>
    </row>
    <row r="137" spans="1:9" ht="13" x14ac:dyDescent="0.3">
      <c r="A137" s="556"/>
      <c r="B137" s="563"/>
      <c r="C137" s="4" t="s">
        <v>39</v>
      </c>
      <c r="D137" s="8"/>
      <c r="E137" s="9"/>
      <c r="F137" s="9"/>
      <c r="G137" s="22"/>
      <c r="H137" s="22"/>
      <c r="I137" s="10"/>
    </row>
    <row r="138" spans="1:9" ht="13" x14ac:dyDescent="0.3">
      <c r="A138" s="556"/>
      <c r="B138" s="563"/>
      <c r="C138" s="4" t="s">
        <v>40</v>
      </c>
      <c r="D138" s="8"/>
      <c r="E138" s="9"/>
      <c r="F138" s="9"/>
      <c r="G138" s="22"/>
      <c r="H138" s="22"/>
      <c r="I138" s="10"/>
    </row>
    <row r="139" spans="1:9" ht="13" x14ac:dyDescent="0.3">
      <c r="A139" s="556"/>
      <c r="B139" s="564" t="s">
        <v>28</v>
      </c>
      <c r="C139" s="11" t="s">
        <v>41</v>
      </c>
      <c r="D139" s="11"/>
      <c r="E139" s="11"/>
      <c r="F139" s="11"/>
      <c r="G139" s="23"/>
      <c r="H139" s="23"/>
      <c r="I139" s="12"/>
    </row>
    <row r="140" spans="1:9" ht="13" x14ac:dyDescent="0.3">
      <c r="A140" s="556"/>
      <c r="B140" s="565"/>
      <c r="C140" s="5" t="s">
        <v>24</v>
      </c>
      <c r="D140" s="13"/>
      <c r="E140" s="13"/>
      <c r="F140" s="13"/>
      <c r="G140" s="24"/>
      <c r="H140" s="24"/>
      <c r="I140" s="14"/>
    </row>
    <row r="141" spans="1:9" ht="13" x14ac:dyDescent="0.3">
      <c r="A141" s="556"/>
      <c r="B141" s="565"/>
      <c r="C141" s="5" t="s">
        <v>25</v>
      </c>
      <c r="D141" s="13"/>
      <c r="E141" s="13"/>
      <c r="F141" s="13"/>
      <c r="G141" s="24"/>
      <c r="H141" s="24"/>
      <c r="I141" s="14"/>
    </row>
    <row r="142" spans="1:9" ht="13" x14ac:dyDescent="0.3">
      <c r="A142" s="556"/>
      <c r="B142" s="565"/>
      <c r="C142" s="5" t="s">
        <v>27</v>
      </c>
      <c r="D142" s="24"/>
      <c r="E142" s="24"/>
      <c r="F142" s="24"/>
      <c r="G142" s="24"/>
      <c r="H142" s="24"/>
      <c r="I142" s="29"/>
    </row>
    <row r="143" spans="1:9" ht="19" thickBot="1" x14ac:dyDescent="0.35">
      <c r="A143" s="556"/>
      <c r="B143" s="47" t="s">
        <v>32</v>
      </c>
      <c r="C143" s="48" t="s">
        <v>33</v>
      </c>
      <c r="D143" s="49"/>
      <c r="E143" s="49"/>
      <c r="F143" s="49"/>
      <c r="G143" s="50"/>
      <c r="H143" s="50"/>
      <c r="I143" s="51"/>
    </row>
    <row r="144" spans="1:9" ht="13.5" thickTop="1" x14ac:dyDescent="0.3">
      <c r="A144" s="556"/>
      <c r="B144" s="545" t="s">
        <v>17</v>
      </c>
      <c r="C144" s="52" t="s">
        <v>30</v>
      </c>
      <c r="D144" s="53"/>
      <c r="E144" s="53"/>
      <c r="F144" s="53"/>
      <c r="G144" s="68"/>
      <c r="H144" s="68"/>
      <c r="I144" s="54"/>
    </row>
    <row r="145" spans="1:9" ht="13" x14ac:dyDescent="0.3">
      <c r="A145" s="556"/>
      <c r="B145" s="546"/>
      <c r="C145" s="55" t="s">
        <v>31</v>
      </c>
      <c r="D145" s="56"/>
      <c r="E145" s="56"/>
      <c r="F145" s="56"/>
      <c r="G145" s="69"/>
      <c r="H145" s="69"/>
      <c r="I145" s="57"/>
    </row>
    <row r="146" spans="1:9" ht="13" x14ac:dyDescent="0.3">
      <c r="A146" s="556"/>
      <c r="B146" s="547"/>
      <c r="C146" s="55" t="s">
        <v>18</v>
      </c>
      <c r="D146" s="56"/>
      <c r="E146" s="56"/>
      <c r="F146" s="56"/>
      <c r="G146" s="69"/>
      <c r="H146" s="69"/>
      <c r="I146" s="57"/>
    </row>
    <row r="147" spans="1:9" ht="13" x14ac:dyDescent="0.3">
      <c r="A147" s="556"/>
      <c r="B147" s="547"/>
      <c r="C147" s="55" t="s">
        <v>19</v>
      </c>
      <c r="D147" s="56"/>
      <c r="E147" s="56"/>
      <c r="F147" s="56"/>
      <c r="G147" s="69"/>
      <c r="H147" s="69"/>
      <c r="I147" s="57"/>
    </row>
    <row r="148" spans="1:9" ht="13" x14ac:dyDescent="0.3">
      <c r="A148" s="556"/>
      <c r="B148" s="547"/>
      <c r="C148" s="55" t="s">
        <v>20</v>
      </c>
      <c r="D148" s="56"/>
      <c r="E148" s="56"/>
      <c r="F148" s="56"/>
      <c r="G148" s="69"/>
      <c r="H148" s="69"/>
      <c r="I148" s="57"/>
    </row>
    <row r="149" spans="1:9" ht="13" x14ac:dyDescent="0.3">
      <c r="A149" s="556"/>
      <c r="B149" s="547"/>
      <c r="C149" s="55" t="s">
        <v>21</v>
      </c>
      <c r="D149" s="56"/>
      <c r="E149" s="56"/>
      <c r="F149" s="56"/>
      <c r="G149" s="69"/>
      <c r="H149" s="69"/>
      <c r="I149" s="57"/>
    </row>
    <row r="150" spans="1:9" ht="13" x14ac:dyDescent="0.3">
      <c r="A150" s="556"/>
      <c r="B150" s="548"/>
      <c r="C150" s="58" t="s">
        <v>22</v>
      </c>
      <c r="D150" s="59"/>
      <c r="E150" s="59"/>
      <c r="F150" s="59"/>
      <c r="G150" s="70"/>
      <c r="H150" s="70"/>
      <c r="I150" s="60"/>
    </row>
    <row r="151" spans="1:9" ht="13" x14ac:dyDescent="0.3">
      <c r="A151" s="556"/>
      <c r="B151" s="549" t="s">
        <v>17</v>
      </c>
      <c r="C151" s="7" t="s">
        <v>35</v>
      </c>
      <c r="D151" s="15"/>
      <c r="E151" s="16"/>
      <c r="F151" s="16"/>
      <c r="G151" s="25"/>
      <c r="H151" s="25"/>
      <c r="I151" s="17"/>
    </row>
    <row r="152" spans="1:9" ht="13" x14ac:dyDescent="0.3">
      <c r="A152" s="556"/>
      <c r="B152" s="550"/>
      <c r="C152" s="7" t="s">
        <v>36</v>
      </c>
      <c r="D152" s="15"/>
      <c r="E152" s="16"/>
      <c r="F152" s="16"/>
      <c r="G152" s="25"/>
      <c r="H152" s="25"/>
      <c r="I152" s="17"/>
    </row>
    <row r="153" spans="1:9" ht="13" x14ac:dyDescent="0.3">
      <c r="A153" s="556"/>
      <c r="B153" s="550"/>
      <c r="C153" s="7" t="s">
        <v>37</v>
      </c>
      <c r="D153" s="15"/>
      <c r="E153" s="16"/>
      <c r="F153" s="16"/>
      <c r="G153" s="25"/>
      <c r="H153" s="25"/>
      <c r="I153" s="17"/>
    </row>
    <row r="154" spans="1:9" ht="13" x14ac:dyDescent="0.3">
      <c r="A154" s="556"/>
      <c r="B154" s="550"/>
      <c r="C154" s="7" t="s">
        <v>38</v>
      </c>
      <c r="D154" s="15"/>
      <c r="E154" s="16"/>
      <c r="F154" s="16"/>
      <c r="G154" s="25"/>
      <c r="H154" s="25"/>
      <c r="I154" s="17"/>
    </row>
    <row r="155" spans="1:9" ht="13" x14ac:dyDescent="0.3">
      <c r="A155" s="556"/>
      <c r="B155" s="550"/>
      <c r="C155" s="7" t="s">
        <v>39</v>
      </c>
      <c r="D155" s="15"/>
      <c r="E155" s="16"/>
      <c r="F155" s="16"/>
      <c r="G155" s="25"/>
      <c r="H155" s="25"/>
      <c r="I155" s="17"/>
    </row>
    <row r="156" spans="1:9" ht="13.5" thickBot="1" x14ac:dyDescent="0.35">
      <c r="A156" s="557"/>
      <c r="B156" s="550"/>
      <c r="C156" s="7" t="s">
        <v>40</v>
      </c>
      <c r="D156" s="15"/>
      <c r="E156" s="16"/>
      <c r="F156" s="16"/>
      <c r="G156" s="25"/>
      <c r="H156" s="25"/>
      <c r="I156" s="17"/>
    </row>
    <row r="157" spans="1:9" ht="13.5" thickTop="1" x14ac:dyDescent="0.3">
      <c r="A157" s="542" t="s">
        <v>46</v>
      </c>
      <c r="B157" s="551" t="s">
        <v>23</v>
      </c>
      <c r="C157" s="61" t="s">
        <v>30</v>
      </c>
      <c r="D157" s="62"/>
      <c r="E157" s="62"/>
      <c r="F157" s="62"/>
      <c r="G157" s="71"/>
      <c r="H157" s="71"/>
      <c r="I157" s="63"/>
    </row>
    <row r="158" spans="1:9" ht="13" x14ac:dyDescent="0.3">
      <c r="A158" s="543"/>
      <c r="B158" s="546"/>
      <c r="C158" s="55" t="s">
        <v>31</v>
      </c>
      <c r="D158" s="56"/>
      <c r="E158" s="56"/>
      <c r="F158" s="56"/>
      <c r="G158" s="69"/>
      <c r="H158" s="69"/>
      <c r="I158" s="57"/>
    </row>
    <row r="159" spans="1:9" ht="13" x14ac:dyDescent="0.3">
      <c r="A159" s="543"/>
      <c r="B159" s="546"/>
      <c r="C159" s="55" t="s">
        <v>18</v>
      </c>
      <c r="D159" s="56"/>
      <c r="E159" s="56"/>
      <c r="F159" s="56"/>
      <c r="G159" s="69"/>
      <c r="H159" s="69"/>
      <c r="I159" s="57"/>
    </row>
    <row r="160" spans="1:9" ht="13" x14ac:dyDescent="0.3">
      <c r="A160" s="543"/>
      <c r="B160" s="546"/>
      <c r="C160" s="55" t="s">
        <v>19</v>
      </c>
      <c r="D160" s="56"/>
      <c r="E160" s="56"/>
      <c r="F160" s="56"/>
      <c r="G160" s="69"/>
      <c r="H160" s="69"/>
      <c r="I160" s="57"/>
    </row>
    <row r="161" spans="1:9" ht="13" x14ac:dyDescent="0.3">
      <c r="A161" s="543"/>
      <c r="B161" s="546"/>
      <c r="C161" s="55" t="s">
        <v>20</v>
      </c>
      <c r="D161" s="56"/>
      <c r="E161" s="56"/>
      <c r="F161" s="56"/>
      <c r="G161" s="69"/>
      <c r="H161" s="69"/>
      <c r="I161" s="57"/>
    </row>
    <row r="162" spans="1:9" ht="13" x14ac:dyDescent="0.3">
      <c r="A162" s="543"/>
      <c r="B162" s="546"/>
      <c r="C162" s="55" t="s">
        <v>21</v>
      </c>
      <c r="D162" s="56"/>
      <c r="E162" s="56"/>
      <c r="F162" s="56"/>
      <c r="G162" s="69"/>
      <c r="H162" s="69"/>
      <c r="I162" s="57"/>
    </row>
    <row r="163" spans="1:9" ht="13" x14ac:dyDescent="0.3">
      <c r="A163" s="543"/>
      <c r="B163" s="552"/>
      <c r="C163" s="58" t="s">
        <v>22</v>
      </c>
      <c r="D163" s="59"/>
      <c r="E163" s="59"/>
      <c r="F163" s="59"/>
      <c r="G163" s="70"/>
      <c r="H163" s="70"/>
      <c r="I163" s="60"/>
    </row>
    <row r="164" spans="1:9" ht="13" x14ac:dyDescent="0.3">
      <c r="A164" s="543"/>
      <c r="B164" s="549" t="s">
        <v>23</v>
      </c>
      <c r="C164" s="7" t="s">
        <v>35</v>
      </c>
      <c r="D164" s="15"/>
      <c r="E164" s="16"/>
      <c r="F164" s="16"/>
      <c r="G164" s="25"/>
      <c r="H164" s="25"/>
      <c r="I164" s="17"/>
    </row>
    <row r="165" spans="1:9" ht="13" x14ac:dyDescent="0.3">
      <c r="A165" s="543"/>
      <c r="B165" s="550"/>
      <c r="C165" s="7" t="s">
        <v>36</v>
      </c>
      <c r="D165" s="15"/>
      <c r="E165" s="16"/>
      <c r="F165" s="16"/>
      <c r="G165" s="25"/>
      <c r="H165" s="25"/>
      <c r="I165" s="17"/>
    </row>
    <row r="166" spans="1:9" ht="13" x14ac:dyDescent="0.3">
      <c r="A166" s="543"/>
      <c r="B166" s="550"/>
      <c r="C166" s="7" t="s">
        <v>37</v>
      </c>
      <c r="D166" s="15"/>
      <c r="E166" s="16"/>
      <c r="F166" s="16"/>
      <c r="G166" s="25"/>
      <c r="H166" s="25"/>
      <c r="I166" s="17"/>
    </row>
    <row r="167" spans="1:9" ht="13" x14ac:dyDescent="0.3">
      <c r="A167" s="543"/>
      <c r="B167" s="550"/>
      <c r="C167" s="7" t="s">
        <v>38</v>
      </c>
      <c r="D167" s="15"/>
      <c r="E167" s="16"/>
      <c r="F167" s="16"/>
      <c r="G167" s="25"/>
      <c r="H167" s="25"/>
      <c r="I167" s="17"/>
    </row>
    <row r="168" spans="1:9" ht="13" x14ac:dyDescent="0.3">
      <c r="A168" s="543"/>
      <c r="B168" s="550"/>
      <c r="C168" s="7" t="s">
        <v>39</v>
      </c>
      <c r="D168" s="15"/>
      <c r="E168" s="16"/>
      <c r="F168" s="16"/>
      <c r="G168" s="25"/>
      <c r="H168" s="25"/>
      <c r="I168" s="17"/>
    </row>
    <row r="169" spans="1:9" ht="13" x14ac:dyDescent="0.3">
      <c r="A169" s="543"/>
      <c r="B169" s="550"/>
      <c r="C169" s="7" t="s">
        <v>40</v>
      </c>
      <c r="D169" s="15"/>
      <c r="E169" s="16"/>
      <c r="F169" s="16"/>
      <c r="G169" s="25"/>
      <c r="H169" s="25"/>
      <c r="I169" s="17"/>
    </row>
    <row r="170" spans="1:9" ht="13" x14ac:dyDescent="0.3">
      <c r="A170" s="543"/>
      <c r="B170" s="553" t="s">
        <v>28</v>
      </c>
      <c r="C170" s="18" t="s">
        <v>41</v>
      </c>
      <c r="D170" s="18"/>
      <c r="E170" s="18"/>
      <c r="F170" s="18"/>
      <c r="G170" s="26"/>
      <c r="H170" s="26"/>
      <c r="I170" s="19"/>
    </row>
    <row r="171" spans="1:9" ht="13" x14ac:dyDescent="0.3">
      <c r="A171" s="543"/>
      <c r="B171" s="554"/>
      <c r="C171" s="6" t="s">
        <v>24</v>
      </c>
      <c r="D171" s="20"/>
      <c r="E171" s="20"/>
      <c r="F171" s="20"/>
      <c r="G171" s="27"/>
      <c r="H171" s="27"/>
      <c r="I171" s="21"/>
    </row>
    <row r="172" spans="1:9" ht="13" x14ac:dyDescent="0.3">
      <c r="A172" s="543"/>
      <c r="B172" s="554"/>
      <c r="C172" s="6" t="s">
        <v>25</v>
      </c>
      <c r="D172" s="20"/>
      <c r="E172" s="20"/>
      <c r="F172" s="20"/>
      <c r="G172" s="27"/>
      <c r="H172" s="27"/>
      <c r="I172" s="21"/>
    </row>
    <row r="173" spans="1:9" ht="13" x14ac:dyDescent="0.3">
      <c r="A173" s="543"/>
      <c r="B173" s="554"/>
      <c r="C173" s="6" t="s">
        <v>27</v>
      </c>
      <c r="D173" s="27"/>
      <c r="E173" s="27"/>
      <c r="F173" s="27"/>
      <c r="G173" s="27"/>
      <c r="H173" s="27"/>
      <c r="I173" s="28"/>
    </row>
    <row r="174" spans="1:9" ht="19" thickBot="1" x14ac:dyDescent="0.35">
      <c r="A174" s="543"/>
      <c r="B174" s="64" t="s">
        <v>32</v>
      </c>
      <c r="C174" s="65" t="s">
        <v>33</v>
      </c>
      <c r="D174" s="66"/>
      <c r="E174" s="66"/>
      <c r="F174" s="66"/>
      <c r="G174" s="72"/>
      <c r="H174" s="72"/>
      <c r="I174" s="67"/>
    </row>
    <row r="175" spans="1:9" ht="13.5" thickTop="1" x14ac:dyDescent="0.3">
      <c r="A175" s="543"/>
      <c r="B175" s="558" t="s">
        <v>17</v>
      </c>
      <c r="C175" s="43" t="s">
        <v>30</v>
      </c>
      <c r="D175" s="44"/>
      <c r="E175" s="44"/>
      <c r="F175" s="44"/>
      <c r="G175" s="45"/>
      <c r="H175" s="45"/>
      <c r="I175" s="46"/>
    </row>
    <row r="176" spans="1:9" ht="13" x14ac:dyDescent="0.3">
      <c r="A176" s="543"/>
      <c r="B176" s="559"/>
      <c r="C176" s="35" t="s">
        <v>31</v>
      </c>
      <c r="D176" s="36"/>
      <c r="E176" s="36"/>
      <c r="F176" s="36"/>
      <c r="G176" s="37"/>
      <c r="H176" s="37"/>
      <c r="I176" s="38"/>
    </row>
    <row r="177" spans="1:9" ht="13" x14ac:dyDescent="0.3">
      <c r="A177" s="543"/>
      <c r="B177" s="560"/>
      <c r="C177" s="35" t="s">
        <v>18</v>
      </c>
      <c r="D177" s="36"/>
      <c r="E177" s="36"/>
      <c r="F177" s="36"/>
      <c r="G177" s="37"/>
      <c r="H177" s="37"/>
      <c r="I177" s="38"/>
    </row>
    <row r="178" spans="1:9" ht="13" x14ac:dyDescent="0.3">
      <c r="A178" s="543"/>
      <c r="B178" s="560"/>
      <c r="C178" s="35" t="s">
        <v>19</v>
      </c>
      <c r="D178" s="36"/>
      <c r="E178" s="36"/>
      <c r="F178" s="36"/>
      <c r="G178" s="37"/>
      <c r="H178" s="37"/>
      <c r="I178" s="38"/>
    </row>
    <row r="179" spans="1:9" ht="13" x14ac:dyDescent="0.3">
      <c r="A179" s="543"/>
      <c r="B179" s="560"/>
      <c r="C179" s="35" t="s">
        <v>20</v>
      </c>
      <c r="D179" s="36"/>
      <c r="E179" s="36"/>
      <c r="F179" s="36"/>
      <c r="G179" s="37"/>
      <c r="H179" s="37"/>
      <c r="I179" s="38"/>
    </row>
    <row r="180" spans="1:9" ht="13" x14ac:dyDescent="0.3">
      <c r="A180" s="543"/>
      <c r="B180" s="560"/>
      <c r="C180" s="35" t="s">
        <v>21</v>
      </c>
      <c r="D180" s="36"/>
      <c r="E180" s="36"/>
      <c r="F180" s="36"/>
      <c r="G180" s="37"/>
      <c r="H180" s="37"/>
      <c r="I180" s="38"/>
    </row>
    <row r="181" spans="1:9" ht="13" x14ac:dyDescent="0.3">
      <c r="A181" s="543"/>
      <c r="B181" s="561"/>
      <c r="C181" s="39" t="s">
        <v>22</v>
      </c>
      <c r="D181" s="40"/>
      <c r="E181" s="40"/>
      <c r="F181" s="40"/>
      <c r="G181" s="41"/>
      <c r="H181" s="41"/>
      <c r="I181" s="42"/>
    </row>
    <row r="182" spans="1:9" ht="13" x14ac:dyDescent="0.3">
      <c r="A182" s="543"/>
      <c r="B182" s="562" t="s">
        <v>17</v>
      </c>
      <c r="C182" s="4" t="s">
        <v>35</v>
      </c>
      <c r="D182" s="8"/>
      <c r="E182" s="9"/>
      <c r="F182" s="9"/>
      <c r="G182" s="22"/>
      <c r="H182" s="22"/>
      <c r="I182" s="10"/>
    </row>
    <row r="183" spans="1:9" ht="13" x14ac:dyDescent="0.3">
      <c r="A183" s="543"/>
      <c r="B183" s="563"/>
      <c r="C183" s="4" t="s">
        <v>36</v>
      </c>
      <c r="D183" s="8"/>
      <c r="E183" s="9"/>
      <c r="F183" s="9"/>
      <c r="G183" s="22"/>
      <c r="H183" s="22"/>
      <c r="I183" s="10"/>
    </row>
    <row r="184" spans="1:9" ht="13" x14ac:dyDescent="0.3">
      <c r="A184" s="543"/>
      <c r="B184" s="563"/>
      <c r="C184" s="4" t="s">
        <v>37</v>
      </c>
      <c r="D184" s="8"/>
      <c r="E184" s="9"/>
      <c r="F184" s="9"/>
      <c r="G184" s="22"/>
      <c r="H184" s="22"/>
      <c r="I184" s="10"/>
    </row>
    <row r="185" spans="1:9" ht="13" x14ac:dyDescent="0.3">
      <c r="A185" s="543"/>
      <c r="B185" s="563"/>
      <c r="C185" s="4" t="s">
        <v>38</v>
      </c>
      <c r="D185" s="8"/>
      <c r="E185" s="9"/>
      <c r="F185" s="9"/>
      <c r="G185" s="22"/>
      <c r="H185" s="22"/>
      <c r="I185" s="10"/>
    </row>
    <row r="186" spans="1:9" ht="13" x14ac:dyDescent="0.3">
      <c r="A186" s="543"/>
      <c r="B186" s="563"/>
      <c r="C186" s="4" t="s">
        <v>39</v>
      </c>
      <c r="D186" s="8"/>
      <c r="E186" s="9"/>
      <c r="F186" s="9"/>
      <c r="G186" s="22"/>
      <c r="H186" s="22"/>
      <c r="I186" s="10"/>
    </row>
    <row r="187" spans="1:9" ht="13.5" thickBot="1" x14ac:dyDescent="0.35">
      <c r="A187" s="544"/>
      <c r="B187" s="563"/>
      <c r="C187" s="4" t="s">
        <v>40</v>
      </c>
      <c r="D187" s="8"/>
      <c r="E187" s="9"/>
      <c r="F187" s="9"/>
      <c r="G187" s="22"/>
      <c r="H187" s="22"/>
      <c r="I187" s="10"/>
    </row>
    <row r="188" spans="1:9" ht="13.5" thickTop="1" x14ac:dyDescent="0.3">
      <c r="A188" s="555" t="s">
        <v>47</v>
      </c>
      <c r="B188" s="567" t="s">
        <v>23</v>
      </c>
      <c r="C188" s="31" t="s">
        <v>30</v>
      </c>
      <c r="D188" s="32"/>
      <c r="E188" s="32"/>
      <c r="F188" s="32"/>
      <c r="G188" s="33"/>
      <c r="H188" s="33"/>
      <c r="I188" s="34"/>
    </row>
    <row r="189" spans="1:9" ht="13" x14ac:dyDescent="0.3">
      <c r="A189" s="556"/>
      <c r="B189" s="559"/>
      <c r="C189" s="35" t="s">
        <v>31</v>
      </c>
      <c r="D189" s="36"/>
      <c r="E189" s="36"/>
      <c r="F189" s="36"/>
      <c r="G189" s="37"/>
      <c r="H189" s="37"/>
      <c r="I189" s="38"/>
    </row>
    <row r="190" spans="1:9" ht="13" x14ac:dyDescent="0.3">
      <c r="A190" s="556"/>
      <c r="B190" s="559"/>
      <c r="C190" s="35" t="s">
        <v>18</v>
      </c>
      <c r="D190" s="36"/>
      <c r="E190" s="36"/>
      <c r="F190" s="36"/>
      <c r="G190" s="37"/>
      <c r="H190" s="37"/>
      <c r="I190" s="38"/>
    </row>
    <row r="191" spans="1:9" ht="13" x14ac:dyDescent="0.3">
      <c r="A191" s="556"/>
      <c r="B191" s="559"/>
      <c r="C191" s="35" t="s">
        <v>19</v>
      </c>
      <c r="D191" s="36"/>
      <c r="E191" s="36"/>
      <c r="F191" s="36"/>
      <c r="G191" s="37"/>
      <c r="H191" s="37"/>
      <c r="I191" s="38"/>
    </row>
    <row r="192" spans="1:9" ht="13" x14ac:dyDescent="0.3">
      <c r="A192" s="556"/>
      <c r="B192" s="559"/>
      <c r="C192" s="35" t="s">
        <v>20</v>
      </c>
      <c r="D192" s="36"/>
      <c r="E192" s="36"/>
      <c r="F192" s="36"/>
      <c r="G192" s="37"/>
      <c r="H192" s="37"/>
      <c r="I192" s="38"/>
    </row>
    <row r="193" spans="1:9" ht="13" x14ac:dyDescent="0.3">
      <c r="A193" s="556"/>
      <c r="B193" s="559"/>
      <c r="C193" s="35" t="s">
        <v>21</v>
      </c>
      <c r="D193" s="36"/>
      <c r="E193" s="36"/>
      <c r="F193" s="36"/>
      <c r="G193" s="37"/>
      <c r="H193" s="37"/>
      <c r="I193" s="38"/>
    </row>
    <row r="194" spans="1:9" ht="13" x14ac:dyDescent="0.3">
      <c r="A194" s="556"/>
      <c r="B194" s="568"/>
      <c r="C194" s="39" t="s">
        <v>22</v>
      </c>
      <c r="D194" s="40"/>
      <c r="E194" s="40"/>
      <c r="F194" s="40"/>
      <c r="G194" s="41"/>
      <c r="H194" s="41"/>
      <c r="I194" s="42"/>
    </row>
    <row r="195" spans="1:9" ht="13" x14ac:dyDescent="0.3">
      <c r="A195" s="556"/>
      <c r="B195" s="562" t="s">
        <v>23</v>
      </c>
      <c r="C195" s="4" t="s">
        <v>35</v>
      </c>
      <c r="D195" s="8"/>
      <c r="E195" s="9"/>
      <c r="F195" s="9"/>
      <c r="G195" s="22"/>
      <c r="H195" s="22"/>
      <c r="I195" s="10"/>
    </row>
    <row r="196" spans="1:9" ht="13" x14ac:dyDescent="0.3">
      <c r="A196" s="556"/>
      <c r="B196" s="563"/>
      <c r="C196" s="4" t="s">
        <v>36</v>
      </c>
      <c r="D196" s="8"/>
      <c r="E196" s="9"/>
      <c r="F196" s="9"/>
      <c r="G196" s="22"/>
      <c r="H196" s="22"/>
      <c r="I196" s="10"/>
    </row>
    <row r="197" spans="1:9" ht="13" x14ac:dyDescent="0.3">
      <c r="A197" s="556"/>
      <c r="B197" s="563"/>
      <c r="C197" s="4" t="s">
        <v>37</v>
      </c>
      <c r="D197" s="8"/>
      <c r="E197" s="9"/>
      <c r="F197" s="9"/>
      <c r="G197" s="22"/>
      <c r="H197" s="22"/>
      <c r="I197" s="10"/>
    </row>
    <row r="198" spans="1:9" ht="13" x14ac:dyDescent="0.3">
      <c r="A198" s="556"/>
      <c r="B198" s="563"/>
      <c r="C198" s="4" t="s">
        <v>38</v>
      </c>
      <c r="D198" s="8"/>
      <c r="E198" s="9"/>
      <c r="F198" s="9"/>
      <c r="G198" s="22"/>
      <c r="H198" s="22"/>
      <c r="I198" s="10"/>
    </row>
    <row r="199" spans="1:9" ht="13" x14ac:dyDescent="0.3">
      <c r="A199" s="556"/>
      <c r="B199" s="563"/>
      <c r="C199" s="4" t="s">
        <v>39</v>
      </c>
      <c r="D199" s="8"/>
      <c r="E199" s="9"/>
      <c r="F199" s="9"/>
      <c r="G199" s="22"/>
      <c r="H199" s="22"/>
      <c r="I199" s="10"/>
    </row>
    <row r="200" spans="1:9" ht="13" x14ac:dyDescent="0.3">
      <c r="A200" s="556"/>
      <c r="B200" s="563"/>
      <c r="C200" s="4" t="s">
        <v>40</v>
      </c>
      <c r="D200" s="8"/>
      <c r="E200" s="9"/>
      <c r="F200" s="9"/>
      <c r="G200" s="22"/>
      <c r="H200" s="22"/>
      <c r="I200" s="10"/>
    </row>
    <row r="201" spans="1:9" ht="13" x14ac:dyDescent="0.3">
      <c r="A201" s="556"/>
      <c r="B201" s="564" t="s">
        <v>28</v>
      </c>
      <c r="C201" s="11" t="s">
        <v>41</v>
      </c>
      <c r="D201" s="11"/>
      <c r="E201" s="11"/>
      <c r="F201" s="11"/>
      <c r="G201" s="23"/>
      <c r="H201" s="23"/>
      <c r="I201" s="12"/>
    </row>
    <row r="202" spans="1:9" ht="13" x14ac:dyDescent="0.3">
      <c r="A202" s="556"/>
      <c r="B202" s="565"/>
      <c r="C202" s="5" t="s">
        <v>24</v>
      </c>
      <c r="D202" s="13"/>
      <c r="E202" s="13"/>
      <c r="F202" s="13"/>
      <c r="G202" s="24"/>
      <c r="H202" s="24"/>
      <c r="I202" s="14"/>
    </row>
    <row r="203" spans="1:9" ht="13" x14ac:dyDescent="0.3">
      <c r="A203" s="556"/>
      <c r="B203" s="565"/>
      <c r="C203" s="5" t="s">
        <v>25</v>
      </c>
      <c r="D203" s="13"/>
      <c r="E203" s="13"/>
      <c r="F203" s="13"/>
      <c r="G203" s="24"/>
      <c r="H203" s="24"/>
      <c r="I203" s="14"/>
    </row>
    <row r="204" spans="1:9" ht="13" x14ac:dyDescent="0.3">
      <c r="A204" s="556"/>
      <c r="B204" s="565"/>
      <c r="C204" s="5" t="s">
        <v>27</v>
      </c>
      <c r="D204" s="24"/>
      <c r="E204" s="24"/>
      <c r="F204" s="24"/>
      <c r="G204" s="24"/>
      <c r="H204" s="24"/>
      <c r="I204" s="29"/>
    </row>
    <row r="205" spans="1:9" ht="19" thickBot="1" x14ac:dyDescent="0.35">
      <c r="A205" s="556"/>
      <c r="B205" s="47" t="s">
        <v>32</v>
      </c>
      <c r="C205" s="48" t="s">
        <v>33</v>
      </c>
      <c r="D205" s="49"/>
      <c r="E205" s="49"/>
      <c r="F205" s="49"/>
      <c r="G205" s="50"/>
      <c r="H205" s="50"/>
      <c r="I205" s="51"/>
    </row>
    <row r="206" spans="1:9" ht="13.5" thickTop="1" x14ac:dyDescent="0.3">
      <c r="A206" s="556"/>
      <c r="B206" s="545" t="s">
        <v>17</v>
      </c>
      <c r="C206" s="52" t="s">
        <v>30</v>
      </c>
      <c r="D206" s="53"/>
      <c r="E206" s="53"/>
      <c r="F206" s="53"/>
      <c r="G206" s="68"/>
      <c r="H206" s="68"/>
      <c r="I206" s="54"/>
    </row>
    <row r="207" spans="1:9" ht="13" x14ac:dyDescent="0.3">
      <c r="A207" s="556"/>
      <c r="B207" s="546"/>
      <c r="C207" s="55" t="s">
        <v>31</v>
      </c>
      <c r="D207" s="56"/>
      <c r="E207" s="56"/>
      <c r="F207" s="56"/>
      <c r="G207" s="69"/>
      <c r="H207" s="69"/>
      <c r="I207" s="57"/>
    </row>
    <row r="208" spans="1:9" ht="13" x14ac:dyDescent="0.3">
      <c r="A208" s="556"/>
      <c r="B208" s="547"/>
      <c r="C208" s="55" t="s">
        <v>18</v>
      </c>
      <c r="D208" s="56"/>
      <c r="E208" s="56"/>
      <c r="F208" s="56"/>
      <c r="G208" s="69"/>
      <c r="H208" s="69"/>
      <c r="I208" s="57"/>
    </row>
    <row r="209" spans="1:9" ht="13" x14ac:dyDescent="0.3">
      <c r="A209" s="556"/>
      <c r="B209" s="547"/>
      <c r="C209" s="55" t="s">
        <v>19</v>
      </c>
      <c r="D209" s="56"/>
      <c r="E209" s="56"/>
      <c r="F209" s="56"/>
      <c r="G209" s="69"/>
      <c r="H209" s="69"/>
      <c r="I209" s="57"/>
    </row>
    <row r="210" spans="1:9" ht="13" x14ac:dyDescent="0.3">
      <c r="A210" s="556"/>
      <c r="B210" s="547"/>
      <c r="C210" s="55" t="s">
        <v>20</v>
      </c>
      <c r="D210" s="56"/>
      <c r="E210" s="56"/>
      <c r="F210" s="56"/>
      <c r="G210" s="69"/>
      <c r="H210" s="69"/>
      <c r="I210" s="57"/>
    </row>
    <row r="211" spans="1:9" ht="13" x14ac:dyDescent="0.3">
      <c r="A211" s="556"/>
      <c r="B211" s="547"/>
      <c r="C211" s="55" t="s">
        <v>21</v>
      </c>
      <c r="D211" s="56"/>
      <c r="E211" s="56"/>
      <c r="F211" s="56"/>
      <c r="G211" s="69"/>
      <c r="H211" s="69"/>
      <c r="I211" s="57"/>
    </row>
    <row r="212" spans="1:9" ht="13" x14ac:dyDescent="0.3">
      <c r="A212" s="556"/>
      <c r="B212" s="548"/>
      <c r="C212" s="58" t="s">
        <v>22</v>
      </c>
      <c r="D212" s="59"/>
      <c r="E212" s="59"/>
      <c r="F212" s="59"/>
      <c r="G212" s="70"/>
      <c r="H212" s="70"/>
      <c r="I212" s="60"/>
    </row>
    <row r="213" spans="1:9" ht="13" x14ac:dyDescent="0.3">
      <c r="A213" s="556"/>
      <c r="B213" s="549" t="s">
        <v>17</v>
      </c>
      <c r="C213" s="7" t="s">
        <v>35</v>
      </c>
      <c r="D213" s="15"/>
      <c r="E213" s="16"/>
      <c r="F213" s="16"/>
      <c r="G213" s="25"/>
      <c r="H213" s="25"/>
      <c r="I213" s="17"/>
    </row>
    <row r="214" spans="1:9" ht="13" x14ac:dyDescent="0.3">
      <c r="A214" s="556"/>
      <c r="B214" s="550"/>
      <c r="C214" s="7" t="s">
        <v>36</v>
      </c>
      <c r="D214" s="15"/>
      <c r="E214" s="16"/>
      <c r="F214" s="16"/>
      <c r="G214" s="25"/>
      <c r="H214" s="25"/>
      <c r="I214" s="17"/>
    </row>
    <row r="215" spans="1:9" ht="13" x14ac:dyDescent="0.3">
      <c r="A215" s="556"/>
      <c r="B215" s="550"/>
      <c r="C215" s="7" t="s">
        <v>37</v>
      </c>
      <c r="D215" s="15"/>
      <c r="E215" s="16"/>
      <c r="F215" s="16"/>
      <c r="G215" s="25"/>
      <c r="H215" s="25"/>
      <c r="I215" s="17"/>
    </row>
    <row r="216" spans="1:9" ht="13" x14ac:dyDescent="0.3">
      <c r="A216" s="556"/>
      <c r="B216" s="550"/>
      <c r="C216" s="7" t="s">
        <v>38</v>
      </c>
      <c r="D216" s="15"/>
      <c r="E216" s="16"/>
      <c r="F216" s="16"/>
      <c r="G216" s="25"/>
      <c r="H216" s="25"/>
      <c r="I216" s="17"/>
    </row>
    <row r="217" spans="1:9" ht="13" x14ac:dyDescent="0.3">
      <c r="A217" s="556"/>
      <c r="B217" s="550"/>
      <c r="C217" s="7" t="s">
        <v>39</v>
      </c>
      <c r="D217" s="15"/>
      <c r="E217" s="16"/>
      <c r="F217" s="16"/>
      <c r="G217" s="25"/>
      <c r="H217" s="25"/>
      <c r="I217" s="17"/>
    </row>
    <row r="218" spans="1:9" ht="13.5" thickBot="1" x14ac:dyDescent="0.35">
      <c r="A218" s="557"/>
      <c r="B218" s="550"/>
      <c r="C218" s="7" t="s">
        <v>40</v>
      </c>
      <c r="D218" s="15"/>
      <c r="E218" s="16"/>
      <c r="F218" s="16"/>
      <c r="G218" s="25"/>
      <c r="H218" s="25"/>
      <c r="I218" s="17"/>
    </row>
    <row r="219" spans="1:9" ht="13.5" thickTop="1" x14ac:dyDescent="0.3">
      <c r="A219" s="542" t="s">
        <v>48</v>
      </c>
      <c r="B219" s="551" t="s">
        <v>23</v>
      </c>
      <c r="C219" s="61" t="s">
        <v>30</v>
      </c>
      <c r="D219" s="62"/>
      <c r="E219" s="62"/>
      <c r="F219" s="62"/>
      <c r="G219" s="71"/>
      <c r="H219" s="71"/>
      <c r="I219" s="63"/>
    </row>
    <row r="220" spans="1:9" ht="13" x14ac:dyDescent="0.3">
      <c r="A220" s="543"/>
      <c r="B220" s="546"/>
      <c r="C220" s="55" t="s">
        <v>31</v>
      </c>
      <c r="D220" s="56"/>
      <c r="E220" s="56"/>
      <c r="F220" s="56"/>
      <c r="G220" s="69"/>
      <c r="H220" s="69"/>
      <c r="I220" s="57"/>
    </row>
    <row r="221" spans="1:9" ht="13" x14ac:dyDescent="0.3">
      <c r="A221" s="543"/>
      <c r="B221" s="546"/>
      <c r="C221" s="55" t="s">
        <v>18</v>
      </c>
      <c r="D221" s="56"/>
      <c r="E221" s="56"/>
      <c r="F221" s="56"/>
      <c r="G221" s="69"/>
      <c r="H221" s="69"/>
      <c r="I221" s="57"/>
    </row>
    <row r="222" spans="1:9" ht="13" x14ac:dyDescent="0.3">
      <c r="A222" s="543"/>
      <c r="B222" s="546"/>
      <c r="C222" s="55" t="s">
        <v>19</v>
      </c>
      <c r="D222" s="56"/>
      <c r="E222" s="56"/>
      <c r="F222" s="56"/>
      <c r="G222" s="69"/>
      <c r="H222" s="69"/>
      <c r="I222" s="57"/>
    </row>
    <row r="223" spans="1:9" ht="13" x14ac:dyDescent="0.3">
      <c r="A223" s="543"/>
      <c r="B223" s="546"/>
      <c r="C223" s="55" t="s">
        <v>20</v>
      </c>
      <c r="D223" s="56"/>
      <c r="E223" s="56"/>
      <c r="F223" s="56"/>
      <c r="G223" s="69"/>
      <c r="H223" s="69"/>
      <c r="I223" s="57"/>
    </row>
    <row r="224" spans="1:9" ht="13" x14ac:dyDescent="0.3">
      <c r="A224" s="543"/>
      <c r="B224" s="546"/>
      <c r="C224" s="55" t="s">
        <v>21</v>
      </c>
      <c r="D224" s="56"/>
      <c r="E224" s="56"/>
      <c r="F224" s="56"/>
      <c r="G224" s="69"/>
      <c r="H224" s="69"/>
      <c r="I224" s="57"/>
    </row>
    <row r="225" spans="1:9" ht="13" x14ac:dyDescent="0.3">
      <c r="A225" s="543"/>
      <c r="B225" s="552"/>
      <c r="C225" s="58" t="s">
        <v>22</v>
      </c>
      <c r="D225" s="59"/>
      <c r="E225" s="59"/>
      <c r="F225" s="59"/>
      <c r="G225" s="70"/>
      <c r="H225" s="70"/>
      <c r="I225" s="60"/>
    </row>
    <row r="226" spans="1:9" ht="13" x14ac:dyDescent="0.3">
      <c r="A226" s="543"/>
      <c r="B226" s="549" t="s">
        <v>23</v>
      </c>
      <c r="C226" s="7" t="s">
        <v>35</v>
      </c>
      <c r="D226" s="15"/>
      <c r="E226" s="16"/>
      <c r="F226" s="16"/>
      <c r="G226" s="25"/>
      <c r="H226" s="25"/>
      <c r="I226" s="17"/>
    </row>
    <row r="227" spans="1:9" ht="13" x14ac:dyDescent="0.3">
      <c r="A227" s="543"/>
      <c r="B227" s="550"/>
      <c r="C227" s="7" t="s">
        <v>36</v>
      </c>
      <c r="D227" s="15"/>
      <c r="E227" s="16"/>
      <c r="F227" s="16"/>
      <c r="G227" s="25"/>
      <c r="H227" s="25"/>
      <c r="I227" s="17"/>
    </row>
    <row r="228" spans="1:9" ht="13" x14ac:dyDescent="0.3">
      <c r="A228" s="543"/>
      <c r="B228" s="550"/>
      <c r="C228" s="7" t="s">
        <v>37</v>
      </c>
      <c r="D228" s="15"/>
      <c r="E228" s="16"/>
      <c r="F228" s="16"/>
      <c r="G228" s="25"/>
      <c r="H228" s="25"/>
      <c r="I228" s="17"/>
    </row>
    <row r="229" spans="1:9" ht="13" x14ac:dyDescent="0.3">
      <c r="A229" s="543"/>
      <c r="B229" s="550"/>
      <c r="C229" s="7" t="s">
        <v>38</v>
      </c>
      <c r="D229" s="15"/>
      <c r="E229" s="16"/>
      <c r="F229" s="16"/>
      <c r="G229" s="25"/>
      <c r="H229" s="25"/>
      <c r="I229" s="17"/>
    </row>
    <row r="230" spans="1:9" ht="13" x14ac:dyDescent="0.3">
      <c r="A230" s="543"/>
      <c r="B230" s="550"/>
      <c r="C230" s="7" t="s">
        <v>39</v>
      </c>
      <c r="D230" s="15"/>
      <c r="E230" s="16"/>
      <c r="F230" s="16"/>
      <c r="G230" s="25"/>
      <c r="H230" s="25"/>
      <c r="I230" s="17"/>
    </row>
    <row r="231" spans="1:9" ht="13" x14ac:dyDescent="0.3">
      <c r="A231" s="543"/>
      <c r="B231" s="550"/>
      <c r="C231" s="7" t="s">
        <v>40</v>
      </c>
      <c r="D231" s="15"/>
      <c r="E231" s="16"/>
      <c r="F231" s="16"/>
      <c r="G231" s="25"/>
      <c r="H231" s="25"/>
      <c r="I231" s="17"/>
    </row>
    <row r="232" spans="1:9" ht="13" x14ac:dyDescent="0.3">
      <c r="A232" s="543"/>
      <c r="B232" s="553" t="s">
        <v>28</v>
      </c>
      <c r="C232" s="18" t="s">
        <v>41</v>
      </c>
      <c r="D232" s="18"/>
      <c r="E232" s="18"/>
      <c r="F232" s="18"/>
      <c r="G232" s="26"/>
      <c r="H232" s="26"/>
      <c r="I232" s="19"/>
    </row>
    <row r="233" spans="1:9" ht="13" x14ac:dyDescent="0.3">
      <c r="A233" s="543"/>
      <c r="B233" s="554"/>
      <c r="C233" s="6" t="s">
        <v>24</v>
      </c>
      <c r="D233" s="20"/>
      <c r="E233" s="20"/>
      <c r="F233" s="20"/>
      <c r="G233" s="27"/>
      <c r="H233" s="27"/>
      <c r="I233" s="21"/>
    </row>
    <row r="234" spans="1:9" ht="13" x14ac:dyDescent="0.3">
      <c r="A234" s="543"/>
      <c r="B234" s="554"/>
      <c r="C234" s="6" t="s">
        <v>25</v>
      </c>
      <c r="D234" s="20"/>
      <c r="E234" s="20"/>
      <c r="F234" s="20"/>
      <c r="G234" s="27"/>
      <c r="H234" s="27"/>
      <c r="I234" s="21"/>
    </row>
    <row r="235" spans="1:9" ht="13" x14ac:dyDescent="0.3">
      <c r="A235" s="543"/>
      <c r="B235" s="554"/>
      <c r="C235" s="6" t="s">
        <v>27</v>
      </c>
      <c r="D235" s="27"/>
      <c r="E235" s="27"/>
      <c r="F235" s="27"/>
      <c r="G235" s="27"/>
      <c r="H235" s="27"/>
      <c r="I235" s="28"/>
    </row>
    <row r="236" spans="1:9" ht="19" thickBot="1" x14ac:dyDescent="0.35">
      <c r="A236" s="543"/>
      <c r="B236" s="64" t="s">
        <v>32</v>
      </c>
      <c r="C236" s="65" t="s">
        <v>33</v>
      </c>
      <c r="D236" s="66"/>
      <c r="E236" s="66"/>
      <c r="F236" s="66"/>
      <c r="G236" s="72"/>
      <c r="H236" s="72"/>
      <c r="I236" s="67"/>
    </row>
    <row r="237" spans="1:9" ht="13.5" thickTop="1" x14ac:dyDescent="0.3">
      <c r="A237" s="543"/>
      <c r="B237" s="558" t="s">
        <v>17</v>
      </c>
      <c r="C237" s="43" t="s">
        <v>30</v>
      </c>
      <c r="D237" s="44"/>
      <c r="E237" s="44"/>
      <c r="F237" s="44"/>
      <c r="G237" s="45"/>
      <c r="H237" s="45"/>
      <c r="I237" s="46"/>
    </row>
    <row r="238" spans="1:9" ht="13" x14ac:dyDescent="0.3">
      <c r="A238" s="543"/>
      <c r="B238" s="559"/>
      <c r="C238" s="35" t="s">
        <v>31</v>
      </c>
      <c r="D238" s="36"/>
      <c r="E238" s="36"/>
      <c r="F238" s="36"/>
      <c r="G238" s="37"/>
      <c r="H238" s="37"/>
      <c r="I238" s="38"/>
    </row>
    <row r="239" spans="1:9" ht="13" x14ac:dyDescent="0.3">
      <c r="A239" s="543"/>
      <c r="B239" s="560"/>
      <c r="C239" s="35" t="s">
        <v>18</v>
      </c>
      <c r="D239" s="36"/>
      <c r="E239" s="36"/>
      <c r="F239" s="36"/>
      <c r="G239" s="37"/>
      <c r="H239" s="37"/>
      <c r="I239" s="38"/>
    </row>
    <row r="240" spans="1:9" ht="13" x14ac:dyDescent="0.3">
      <c r="A240" s="543"/>
      <c r="B240" s="560"/>
      <c r="C240" s="35" t="s">
        <v>19</v>
      </c>
      <c r="D240" s="36"/>
      <c r="E240" s="36"/>
      <c r="F240" s="36"/>
      <c r="G240" s="37"/>
      <c r="H240" s="37"/>
      <c r="I240" s="38"/>
    </row>
    <row r="241" spans="1:9" ht="13" x14ac:dyDescent="0.3">
      <c r="A241" s="543"/>
      <c r="B241" s="560"/>
      <c r="C241" s="35" t="s">
        <v>20</v>
      </c>
      <c r="D241" s="36"/>
      <c r="E241" s="36"/>
      <c r="F241" s="36"/>
      <c r="G241" s="37"/>
      <c r="H241" s="37"/>
      <c r="I241" s="38"/>
    </row>
    <row r="242" spans="1:9" ht="13" x14ac:dyDescent="0.3">
      <c r="A242" s="543"/>
      <c r="B242" s="560"/>
      <c r="C242" s="35" t="s">
        <v>21</v>
      </c>
      <c r="D242" s="36"/>
      <c r="E242" s="36"/>
      <c r="F242" s="36"/>
      <c r="G242" s="37"/>
      <c r="H242" s="37"/>
      <c r="I242" s="38"/>
    </row>
    <row r="243" spans="1:9" ht="13" x14ac:dyDescent="0.3">
      <c r="A243" s="543"/>
      <c r="B243" s="561"/>
      <c r="C243" s="39" t="s">
        <v>22</v>
      </c>
      <c r="D243" s="40"/>
      <c r="E243" s="40"/>
      <c r="F243" s="40"/>
      <c r="G243" s="41"/>
      <c r="H243" s="41"/>
      <c r="I243" s="42"/>
    </row>
    <row r="244" spans="1:9" ht="13" x14ac:dyDescent="0.3">
      <c r="A244" s="543"/>
      <c r="B244" s="562" t="s">
        <v>17</v>
      </c>
      <c r="C244" s="4" t="s">
        <v>35</v>
      </c>
      <c r="D244" s="8"/>
      <c r="E244" s="9"/>
      <c r="F244" s="9"/>
      <c r="G244" s="22"/>
      <c r="H244" s="22"/>
      <c r="I244" s="10"/>
    </row>
    <row r="245" spans="1:9" ht="13" x14ac:dyDescent="0.3">
      <c r="A245" s="543"/>
      <c r="B245" s="563"/>
      <c r="C245" s="4" t="s">
        <v>36</v>
      </c>
      <c r="D245" s="8"/>
      <c r="E245" s="9"/>
      <c r="F245" s="9"/>
      <c r="G245" s="22"/>
      <c r="H245" s="22"/>
      <c r="I245" s="10"/>
    </row>
    <row r="246" spans="1:9" ht="13" x14ac:dyDescent="0.3">
      <c r="A246" s="543"/>
      <c r="B246" s="563"/>
      <c r="C246" s="4" t="s">
        <v>37</v>
      </c>
      <c r="D246" s="8"/>
      <c r="E246" s="9"/>
      <c r="F246" s="9"/>
      <c r="G246" s="22"/>
      <c r="H246" s="22"/>
      <c r="I246" s="10"/>
    </row>
    <row r="247" spans="1:9" ht="13" x14ac:dyDescent="0.3">
      <c r="A247" s="543"/>
      <c r="B247" s="563"/>
      <c r="C247" s="4" t="s">
        <v>38</v>
      </c>
      <c r="D247" s="8"/>
      <c r="E247" s="9"/>
      <c r="F247" s="9"/>
      <c r="G247" s="22"/>
      <c r="H247" s="22"/>
      <c r="I247" s="10"/>
    </row>
    <row r="248" spans="1:9" ht="13" x14ac:dyDescent="0.3">
      <c r="A248" s="543"/>
      <c r="B248" s="563"/>
      <c r="C248" s="4" t="s">
        <v>39</v>
      </c>
      <c r="D248" s="8"/>
      <c r="E248" s="9"/>
      <c r="F248" s="9"/>
      <c r="G248" s="22"/>
      <c r="H248" s="22"/>
      <c r="I248" s="10"/>
    </row>
    <row r="249" spans="1:9" ht="13.5" thickBot="1" x14ac:dyDescent="0.35">
      <c r="A249" s="544"/>
      <c r="B249" s="563"/>
      <c r="C249" s="4" t="s">
        <v>40</v>
      </c>
      <c r="D249" s="8"/>
      <c r="E249" s="9"/>
      <c r="F249" s="9"/>
      <c r="G249" s="22"/>
      <c r="H249" s="22"/>
      <c r="I249" s="10"/>
    </row>
    <row r="250" spans="1:9" ht="13.5" thickTop="1" x14ac:dyDescent="0.3">
      <c r="A250" s="555" t="s">
        <v>49</v>
      </c>
      <c r="B250" s="567" t="s">
        <v>23</v>
      </c>
      <c r="C250" s="31" t="s">
        <v>30</v>
      </c>
      <c r="D250" s="32"/>
      <c r="E250" s="32"/>
      <c r="F250" s="32"/>
      <c r="G250" s="33"/>
      <c r="H250" s="33"/>
      <c r="I250" s="34"/>
    </row>
    <row r="251" spans="1:9" ht="13" x14ac:dyDescent="0.3">
      <c r="A251" s="556"/>
      <c r="B251" s="559"/>
      <c r="C251" s="35" t="s">
        <v>31</v>
      </c>
      <c r="D251" s="36"/>
      <c r="E251" s="36"/>
      <c r="F251" s="36"/>
      <c r="G251" s="37"/>
      <c r="H251" s="37"/>
      <c r="I251" s="38"/>
    </row>
    <row r="252" spans="1:9" ht="13" x14ac:dyDescent="0.3">
      <c r="A252" s="556"/>
      <c r="B252" s="559"/>
      <c r="C252" s="35" t="s">
        <v>18</v>
      </c>
      <c r="D252" s="36"/>
      <c r="E252" s="36"/>
      <c r="F252" s="36"/>
      <c r="G252" s="37"/>
      <c r="H252" s="37"/>
      <c r="I252" s="38"/>
    </row>
    <row r="253" spans="1:9" ht="13" x14ac:dyDescent="0.3">
      <c r="A253" s="556"/>
      <c r="B253" s="559"/>
      <c r="C253" s="35" t="s">
        <v>19</v>
      </c>
      <c r="D253" s="36"/>
      <c r="E253" s="36"/>
      <c r="F253" s="36"/>
      <c r="G253" s="37"/>
      <c r="H253" s="37"/>
      <c r="I253" s="38"/>
    </row>
    <row r="254" spans="1:9" ht="13" x14ac:dyDescent="0.3">
      <c r="A254" s="556"/>
      <c r="B254" s="559"/>
      <c r="C254" s="35" t="s">
        <v>20</v>
      </c>
      <c r="D254" s="36"/>
      <c r="E254" s="36"/>
      <c r="F254" s="36"/>
      <c r="G254" s="37"/>
      <c r="H254" s="37"/>
      <c r="I254" s="38"/>
    </row>
    <row r="255" spans="1:9" ht="13" x14ac:dyDescent="0.3">
      <c r="A255" s="556"/>
      <c r="B255" s="559"/>
      <c r="C255" s="35" t="s">
        <v>21</v>
      </c>
      <c r="D255" s="36"/>
      <c r="E255" s="36"/>
      <c r="F255" s="36"/>
      <c r="G255" s="37"/>
      <c r="H255" s="37"/>
      <c r="I255" s="38"/>
    </row>
    <row r="256" spans="1:9" ht="13" x14ac:dyDescent="0.3">
      <c r="A256" s="556"/>
      <c r="B256" s="568"/>
      <c r="C256" s="39" t="s">
        <v>22</v>
      </c>
      <c r="D256" s="40"/>
      <c r="E256" s="40"/>
      <c r="F256" s="40"/>
      <c r="G256" s="41"/>
      <c r="H256" s="41"/>
      <c r="I256" s="42"/>
    </row>
    <row r="257" spans="1:9" ht="13" x14ac:dyDescent="0.3">
      <c r="A257" s="556"/>
      <c r="B257" s="562" t="s">
        <v>23</v>
      </c>
      <c r="C257" s="4" t="s">
        <v>35</v>
      </c>
      <c r="D257" s="8"/>
      <c r="E257" s="9"/>
      <c r="F257" s="9"/>
      <c r="G257" s="22"/>
      <c r="H257" s="22"/>
      <c r="I257" s="10"/>
    </row>
    <row r="258" spans="1:9" ht="13" x14ac:dyDescent="0.3">
      <c r="A258" s="556"/>
      <c r="B258" s="563"/>
      <c r="C258" s="4" t="s">
        <v>36</v>
      </c>
      <c r="D258" s="8"/>
      <c r="E258" s="9"/>
      <c r="F258" s="9"/>
      <c r="G258" s="22"/>
      <c r="H258" s="22"/>
      <c r="I258" s="10"/>
    </row>
    <row r="259" spans="1:9" ht="13" x14ac:dyDescent="0.3">
      <c r="A259" s="556"/>
      <c r="B259" s="563"/>
      <c r="C259" s="4" t="s">
        <v>37</v>
      </c>
      <c r="D259" s="8"/>
      <c r="E259" s="9"/>
      <c r="F259" s="9"/>
      <c r="G259" s="22"/>
      <c r="H259" s="22"/>
      <c r="I259" s="10"/>
    </row>
    <row r="260" spans="1:9" ht="13" x14ac:dyDescent="0.3">
      <c r="A260" s="556"/>
      <c r="B260" s="563"/>
      <c r="C260" s="4" t="s">
        <v>38</v>
      </c>
      <c r="D260" s="8"/>
      <c r="E260" s="9"/>
      <c r="F260" s="9"/>
      <c r="G260" s="22"/>
      <c r="H260" s="22"/>
      <c r="I260" s="10"/>
    </row>
    <row r="261" spans="1:9" ht="13" x14ac:dyDescent="0.3">
      <c r="A261" s="556"/>
      <c r="B261" s="563"/>
      <c r="C261" s="4" t="s">
        <v>39</v>
      </c>
      <c r="D261" s="8"/>
      <c r="E261" s="9"/>
      <c r="F261" s="9"/>
      <c r="G261" s="22"/>
      <c r="H261" s="22"/>
      <c r="I261" s="10"/>
    </row>
    <row r="262" spans="1:9" ht="13" x14ac:dyDescent="0.3">
      <c r="A262" s="556"/>
      <c r="B262" s="563"/>
      <c r="C262" s="4" t="s">
        <v>40</v>
      </c>
      <c r="D262" s="8"/>
      <c r="E262" s="9"/>
      <c r="F262" s="9"/>
      <c r="G262" s="22"/>
      <c r="H262" s="22"/>
      <c r="I262" s="10"/>
    </row>
    <row r="263" spans="1:9" ht="13" x14ac:dyDescent="0.3">
      <c r="A263" s="556"/>
      <c r="B263" s="564" t="s">
        <v>28</v>
      </c>
      <c r="C263" s="11" t="s">
        <v>41</v>
      </c>
      <c r="D263" s="11"/>
      <c r="E263" s="11"/>
      <c r="F263" s="11"/>
      <c r="G263" s="23"/>
      <c r="H263" s="23"/>
      <c r="I263" s="12"/>
    </row>
    <row r="264" spans="1:9" ht="13" x14ac:dyDescent="0.3">
      <c r="A264" s="556"/>
      <c r="B264" s="565"/>
      <c r="C264" s="5" t="s">
        <v>24</v>
      </c>
      <c r="D264" s="13"/>
      <c r="E264" s="13"/>
      <c r="F264" s="13"/>
      <c r="G264" s="24"/>
      <c r="H264" s="24"/>
      <c r="I264" s="14"/>
    </row>
    <row r="265" spans="1:9" ht="13" x14ac:dyDescent="0.3">
      <c r="A265" s="556"/>
      <c r="B265" s="565"/>
      <c r="C265" s="5" t="s">
        <v>25</v>
      </c>
      <c r="D265" s="13"/>
      <c r="E265" s="13"/>
      <c r="F265" s="13"/>
      <c r="G265" s="24"/>
      <c r="H265" s="24"/>
      <c r="I265" s="14"/>
    </row>
    <row r="266" spans="1:9" ht="13" x14ac:dyDescent="0.3">
      <c r="A266" s="556"/>
      <c r="B266" s="565"/>
      <c r="C266" s="5" t="s">
        <v>27</v>
      </c>
      <c r="D266" s="24"/>
      <c r="E266" s="24"/>
      <c r="F266" s="24"/>
      <c r="G266" s="24"/>
      <c r="H266" s="24"/>
      <c r="I266" s="29"/>
    </row>
    <row r="267" spans="1:9" ht="19" thickBot="1" x14ac:dyDescent="0.35">
      <c r="A267" s="556"/>
      <c r="B267" s="47" t="s">
        <v>32</v>
      </c>
      <c r="C267" s="48" t="s">
        <v>33</v>
      </c>
      <c r="D267" s="49"/>
      <c r="E267" s="49"/>
      <c r="F267" s="49"/>
      <c r="G267" s="50"/>
      <c r="H267" s="50"/>
      <c r="I267" s="51"/>
    </row>
    <row r="268" spans="1:9" ht="13.5" thickTop="1" x14ac:dyDescent="0.3">
      <c r="A268" s="556"/>
      <c r="B268" s="545" t="s">
        <v>17</v>
      </c>
      <c r="C268" s="52" t="s">
        <v>30</v>
      </c>
      <c r="D268" s="53"/>
      <c r="E268" s="53"/>
      <c r="F268" s="53"/>
      <c r="G268" s="68"/>
      <c r="H268" s="68"/>
      <c r="I268" s="54"/>
    </row>
    <row r="269" spans="1:9" ht="13" x14ac:dyDescent="0.3">
      <c r="A269" s="556"/>
      <c r="B269" s="546"/>
      <c r="C269" s="55" t="s">
        <v>31</v>
      </c>
      <c r="D269" s="56"/>
      <c r="E269" s="56"/>
      <c r="F269" s="56"/>
      <c r="G269" s="69"/>
      <c r="H269" s="69"/>
      <c r="I269" s="57"/>
    </row>
    <row r="270" spans="1:9" ht="13" x14ac:dyDescent="0.3">
      <c r="A270" s="556"/>
      <c r="B270" s="547"/>
      <c r="C270" s="55" t="s">
        <v>18</v>
      </c>
      <c r="D270" s="56"/>
      <c r="E270" s="56"/>
      <c r="F270" s="56"/>
      <c r="G270" s="69"/>
      <c r="H270" s="69"/>
      <c r="I270" s="57"/>
    </row>
    <row r="271" spans="1:9" ht="13" x14ac:dyDescent="0.3">
      <c r="A271" s="556"/>
      <c r="B271" s="547"/>
      <c r="C271" s="55" t="s">
        <v>19</v>
      </c>
      <c r="D271" s="56"/>
      <c r="E271" s="56"/>
      <c r="F271" s="56"/>
      <c r="G271" s="69"/>
      <c r="H271" s="69"/>
      <c r="I271" s="57"/>
    </row>
    <row r="272" spans="1:9" ht="13" x14ac:dyDescent="0.3">
      <c r="A272" s="556"/>
      <c r="B272" s="547"/>
      <c r="C272" s="55" t="s">
        <v>20</v>
      </c>
      <c r="D272" s="56"/>
      <c r="E272" s="56"/>
      <c r="F272" s="56"/>
      <c r="G272" s="69"/>
      <c r="H272" s="69"/>
      <c r="I272" s="57"/>
    </row>
    <row r="273" spans="1:9" ht="13" x14ac:dyDescent="0.3">
      <c r="A273" s="556"/>
      <c r="B273" s="547"/>
      <c r="C273" s="55" t="s">
        <v>21</v>
      </c>
      <c r="D273" s="56"/>
      <c r="E273" s="56"/>
      <c r="F273" s="56"/>
      <c r="G273" s="69"/>
      <c r="H273" s="69"/>
      <c r="I273" s="57"/>
    </row>
    <row r="274" spans="1:9" ht="13" x14ac:dyDescent="0.3">
      <c r="A274" s="556"/>
      <c r="B274" s="548"/>
      <c r="C274" s="58" t="s">
        <v>22</v>
      </c>
      <c r="D274" s="59"/>
      <c r="E274" s="59"/>
      <c r="F274" s="59"/>
      <c r="G274" s="70"/>
      <c r="H274" s="70"/>
      <c r="I274" s="60"/>
    </row>
    <row r="275" spans="1:9" ht="13" x14ac:dyDescent="0.3">
      <c r="A275" s="556"/>
      <c r="B275" s="549" t="s">
        <v>17</v>
      </c>
      <c r="C275" s="7" t="s">
        <v>35</v>
      </c>
      <c r="D275" s="15"/>
      <c r="E275" s="16"/>
      <c r="F275" s="16"/>
      <c r="G275" s="25"/>
      <c r="H275" s="25"/>
      <c r="I275" s="17"/>
    </row>
    <row r="276" spans="1:9" ht="13" x14ac:dyDescent="0.3">
      <c r="A276" s="556"/>
      <c r="B276" s="550"/>
      <c r="C276" s="7" t="s">
        <v>36</v>
      </c>
      <c r="D276" s="15"/>
      <c r="E276" s="16"/>
      <c r="F276" s="16"/>
      <c r="G276" s="25"/>
      <c r="H276" s="25"/>
      <c r="I276" s="17"/>
    </row>
    <row r="277" spans="1:9" ht="13" x14ac:dyDescent="0.3">
      <c r="A277" s="556"/>
      <c r="B277" s="550"/>
      <c r="C277" s="7" t="s">
        <v>37</v>
      </c>
      <c r="D277" s="15"/>
      <c r="E277" s="16"/>
      <c r="F277" s="16"/>
      <c r="G277" s="25"/>
      <c r="H277" s="25"/>
      <c r="I277" s="17"/>
    </row>
    <row r="278" spans="1:9" ht="13" x14ac:dyDescent="0.3">
      <c r="A278" s="556"/>
      <c r="B278" s="550"/>
      <c r="C278" s="7" t="s">
        <v>38</v>
      </c>
      <c r="D278" s="15"/>
      <c r="E278" s="16"/>
      <c r="F278" s="16"/>
      <c r="G278" s="25"/>
      <c r="H278" s="25"/>
      <c r="I278" s="17"/>
    </row>
    <row r="279" spans="1:9" ht="13" x14ac:dyDescent="0.3">
      <c r="A279" s="556"/>
      <c r="B279" s="550"/>
      <c r="C279" s="7" t="s">
        <v>39</v>
      </c>
      <c r="D279" s="15"/>
      <c r="E279" s="16"/>
      <c r="F279" s="16"/>
      <c r="G279" s="25"/>
      <c r="H279" s="25"/>
      <c r="I279" s="17"/>
    </row>
    <row r="280" spans="1:9" ht="13.5" thickBot="1" x14ac:dyDescent="0.35">
      <c r="A280" s="557"/>
      <c r="B280" s="550"/>
      <c r="C280" s="7" t="s">
        <v>40</v>
      </c>
      <c r="D280" s="15"/>
      <c r="E280" s="16"/>
      <c r="F280" s="16"/>
      <c r="G280" s="25"/>
      <c r="H280" s="25"/>
      <c r="I280" s="17"/>
    </row>
    <row r="281" spans="1:9" ht="13.5" thickTop="1" x14ac:dyDescent="0.3">
      <c r="A281" s="542" t="s">
        <v>42</v>
      </c>
      <c r="B281" s="551" t="s">
        <v>23</v>
      </c>
      <c r="C281" s="61" t="s">
        <v>30</v>
      </c>
      <c r="D281" s="62"/>
      <c r="E281" s="62"/>
      <c r="F281" s="62"/>
      <c r="G281" s="71"/>
      <c r="H281" s="71"/>
      <c r="I281" s="63"/>
    </row>
    <row r="282" spans="1:9" ht="13" x14ac:dyDescent="0.3">
      <c r="A282" s="543"/>
      <c r="B282" s="546"/>
      <c r="C282" s="55" t="s">
        <v>31</v>
      </c>
      <c r="D282" s="56"/>
      <c r="E282" s="56"/>
      <c r="F282" s="56"/>
      <c r="G282" s="69"/>
      <c r="H282" s="69"/>
      <c r="I282" s="57"/>
    </row>
    <row r="283" spans="1:9" ht="13" x14ac:dyDescent="0.3">
      <c r="A283" s="543"/>
      <c r="B283" s="546"/>
      <c r="C283" s="55" t="s">
        <v>18</v>
      </c>
      <c r="D283" s="56"/>
      <c r="E283" s="56"/>
      <c r="F283" s="56"/>
      <c r="G283" s="69"/>
      <c r="H283" s="69"/>
      <c r="I283" s="57"/>
    </row>
    <row r="284" spans="1:9" ht="13" x14ac:dyDescent="0.3">
      <c r="A284" s="543"/>
      <c r="B284" s="546"/>
      <c r="C284" s="55" t="s">
        <v>19</v>
      </c>
      <c r="D284" s="56"/>
      <c r="E284" s="56"/>
      <c r="F284" s="56"/>
      <c r="G284" s="69"/>
      <c r="H284" s="69"/>
      <c r="I284" s="57"/>
    </row>
    <row r="285" spans="1:9" ht="13" x14ac:dyDescent="0.3">
      <c r="A285" s="543"/>
      <c r="B285" s="546"/>
      <c r="C285" s="55" t="s">
        <v>20</v>
      </c>
      <c r="D285" s="56"/>
      <c r="E285" s="56"/>
      <c r="F285" s="56"/>
      <c r="G285" s="69"/>
      <c r="H285" s="69"/>
      <c r="I285" s="57"/>
    </row>
    <row r="286" spans="1:9" ht="13" x14ac:dyDescent="0.3">
      <c r="A286" s="543"/>
      <c r="B286" s="546"/>
      <c r="C286" s="55" t="s">
        <v>21</v>
      </c>
      <c r="D286" s="56"/>
      <c r="E286" s="56"/>
      <c r="F286" s="56"/>
      <c r="G286" s="69"/>
      <c r="H286" s="69"/>
      <c r="I286" s="57"/>
    </row>
    <row r="287" spans="1:9" ht="13" x14ac:dyDescent="0.3">
      <c r="A287" s="543"/>
      <c r="B287" s="552"/>
      <c r="C287" s="58" t="s">
        <v>22</v>
      </c>
      <c r="D287" s="59"/>
      <c r="E287" s="59"/>
      <c r="F287" s="59"/>
      <c r="G287" s="70"/>
      <c r="H287" s="70"/>
      <c r="I287" s="60"/>
    </row>
    <row r="288" spans="1:9" ht="13" x14ac:dyDescent="0.3">
      <c r="A288" s="543"/>
      <c r="B288" s="549" t="s">
        <v>23</v>
      </c>
      <c r="C288" s="7" t="s">
        <v>35</v>
      </c>
      <c r="D288" s="15"/>
      <c r="E288" s="16"/>
      <c r="F288" s="16"/>
      <c r="G288" s="25"/>
      <c r="H288" s="25"/>
      <c r="I288" s="17"/>
    </row>
    <row r="289" spans="1:9" ht="13" x14ac:dyDescent="0.3">
      <c r="A289" s="543"/>
      <c r="B289" s="550"/>
      <c r="C289" s="7" t="s">
        <v>36</v>
      </c>
      <c r="D289" s="15"/>
      <c r="E289" s="16"/>
      <c r="F289" s="16"/>
      <c r="G289" s="25"/>
      <c r="H289" s="25"/>
      <c r="I289" s="17"/>
    </row>
    <row r="290" spans="1:9" ht="13" x14ac:dyDescent="0.3">
      <c r="A290" s="543"/>
      <c r="B290" s="550"/>
      <c r="C290" s="7" t="s">
        <v>37</v>
      </c>
      <c r="D290" s="15"/>
      <c r="E290" s="16"/>
      <c r="F290" s="16"/>
      <c r="G290" s="25"/>
      <c r="H290" s="25"/>
      <c r="I290" s="17"/>
    </row>
    <row r="291" spans="1:9" ht="13" x14ac:dyDescent="0.3">
      <c r="A291" s="543"/>
      <c r="B291" s="550"/>
      <c r="C291" s="7" t="s">
        <v>38</v>
      </c>
      <c r="D291" s="15"/>
      <c r="E291" s="16"/>
      <c r="F291" s="16"/>
      <c r="G291" s="25"/>
      <c r="H291" s="25"/>
      <c r="I291" s="17"/>
    </row>
    <row r="292" spans="1:9" ht="13" x14ac:dyDescent="0.3">
      <c r="A292" s="543"/>
      <c r="B292" s="550"/>
      <c r="C292" s="7" t="s">
        <v>39</v>
      </c>
      <c r="D292" s="15"/>
      <c r="E292" s="16"/>
      <c r="F292" s="16"/>
      <c r="G292" s="25"/>
      <c r="H292" s="25"/>
      <c r="I292" s="17"/>
    </row>
    <row r="293" spans="1:9" ht="13" x14ac:dyDescent="0.3">
      <c r="A293" s="543"/>
      <c r="B293" s="550"/>
      <c r="C293" s="7" t="s">
        <v>40</v>
      </c>
      <c r="D293" s="15"/>
      <c r="E293" s="16"/>
      <c r="F293" s="16"/>
      <c r="G293" s="25"/>
      <c r="H293" s="25"/>
      <c r="I293" s="17"/>
    </row>
    <row r="294" spans="1:9" ht="13" x14ac:dyDescent="0.3">
      <c r="A294" s="543"/>
      <c r="B294" s="553" t="s">
        <v>28</v>
      </c>
      <c r="C294" s="18" t="s">
        <v>41</v>
      </c>
      <c r="D294" s="18"/>
      <c r="E294" s="18"/>
      <c r="F294" s="18"/>
      <c r="G294" s="26"/>
      <c r="H294" s="26"/>
      <c r="I294" s="19"/>
    </row>
    <row r="295" spans="1:9" ht="13" x14ac:dyDescent="0.3">
      <c r="A295" s="543"/>
      <c r="B295" s="554"/>
      <c r="C295" s="6" t="s">
        <v>24</v>
      </c>
      <c r="D295" s="20"/>
      <c r="E295" s="20"/>
      <c r="F295" s="20"/>
      <c r="G295" s="27"/>
      <c r="H295" s="27"/>
      <c r="I295" s="21"/>
    </row>
    <row r="296" spans="1:9" ht="13" x14ac:dyDescent="0.3">
      <c r="A296" s="543"/>
      <c r="B296" s="554"/>
      <c r="C296" s="6" t="s">
        <v>25</v>
      </c>
      <c r="D296" s="20"/>
      <c r="E296" s="20"/>
      <c r="F296" s="20"/>
      <c r="G296" s="27"/>
      <c r="H296" s="27"/>
      <c r="I296" s="21"/>
    </row>
    <row r="297" spans="1:9" ht="13" x14ac:dyDescent="0.3">
      <c r="A297" s="543"/>
      <c r="B297" s="554"/>
      <c r="C297" s="6" t="s">
        <v>27</v>
      </c>
      <c r="D297" s="27"/>
      <c r="E297" s="27"/>
      <c r="F297" s="27"/>
      <c r="G297" s="27"/>
      <c r="H297" s="27"/>
      <c r="I297" s="28"/>
    </row>
    <row r="298" spans="1:9" ht="19" thickBot="1" x14ac:dyDescent="0.35">
      <c r="A298" s="543"/>
      <c r="B298" s="64" t="s">
        <v>32</v>
      </c>
      <c r="C298" s="65" t="s">
        <v>33</v>
      </c>
      <c r="D298" s="66"/>
      <c r="E298" s="66"/>
      <c r="F298" s="66"/>
      <c r="G298" s="72"/>
      <c r="H298" s="72"/>
      <c r="I298" s="67"/>
    </row>
    <row r="299" spans="1:9" ht="13" thickTop="1" x14ac:dyDescent="0.25">
      <c r="A299" s="543"/>
    </row>
    <row r="300" spans="1:9" x14ac:dyDescent="0.25">
      <c r="A300" s="543"/>
    </row>
    <row r="301" spans="1:9" x14ac:dyDescent="0.25">
      <c r="A301" s="543"/>
    </row>
    <row r="302" spans="1:9" x14ac:dyDescent="0.25">
      <c r="A302" s="543"/>
    </row>
    <row r="303" spans="1:9" x14ac:dyDescent="0.25">
      <c r="A303" s="543"/>
    </row>
    <row r="304" spans="1:9" x14ac:dyDescent="0.25">
      <c r="A304" s="543"/>
    </row>
    <row r="305" spans="1:1" x14ac:dyDescent="0.25">
      <c r="A305" s="543"/>
    </row>
    <row r="306" spans="1:1" x14ac:dyDescent="0.25">
      <c r="A306" s="543"/>
    </row>
    <row r="307" spans="1:1" x14ac:dyDescent="0.25">
      <c r="A307" s="543"/>
    </row>
    <row r="308" spans="1:1" x14ac:dyDescent="0.25">
      <c r="A308" s="543"/>
    </row>
    <row r="309" spans="1:1" x14ac:dyDescent="0.25">
      <c r="A309" s="543"/>
    </row>
    <row r="310" spans="1:1" x14ac:dyDescent="0.25">
      <c r="A310" s="543"/>
    </row>
    <row r="311" spans="1:1" ht="13" thickBot="1" x14ac:dyDescent="0.3">
      <c r="A311" s="544"/>
    </row>
    <row r="312" spans="1:1" ht="13" thickTop="1" x14ac:dyDescent="0.25"/>
  </sheetData>
  <mergeCells count="61">
    <mergeCell ref="B250:B256"/>
    <mergeCell ref="B257:B262"/>
    <mergeCell ref="A281:A311"/>
    <mergeCell ref="B268:B274"/>
    <mergeCell ref="B275:B280"/>
    <mergeCell ref="B281:B287"/>
    <mergeCell ref="B288:B293"/>
    <mergeCell ref="B294:B297"/>
    <mergeCell ref="A250:A280"/>
    <mergeCell ref="B263:B266"/>
    <mergeCell ref="B188:B194"/>
    <mergeCell ref="B195:B200"/>
    <mergeCell ref="A219:A249"/>
    <mergeCell ref="B206:B212"/>
    <mergeCell ref="B213:B218"/>
    <mergeCell ref="B219:B225"/>
    <mergeCell ref="B226:B231"/>
    <mergeCell ref="B232:B235"/>
    <mergeCell ref="A188:A218"/>
    <mergeCell ref="B201:B204"/>
    <mergeCell ref="B237:B243"/>
    <mergeCell ref="B244:B249"/>
    <mergeCell ref="B126:B132"/>
    <mergeCell ref="B133:B138"/>
    <mergeCell ref="A157:A187"/>
    <mergeCell ref="B144:B150"/>
    <mergeCell ref="B151:B156"/>
    <mergeCell ref="B157:B163"/>
    <mergeCell ref="B164:B169"/>
    <mergeCell ref="B170:B173"/>
    <mergeCell ref="A126:A156"/>
    <mergeCell ref="B139:B142"/>
    <mergeCell ref="B175:B181"/>
    <mergeCell ref="B182:B187"/>
    <mergeCell ref="J3:J9"/>
    <mergeCell ref="J10:J15"/>
    <mergeCell ref="B10:B15"/>
    <mergeCell ref="A33:A63"/>
    <mergeCell ref="B20:B26"/>
    <mergeCell ref="B27:B32"/>
    <mergeCell ref="B33:B39"/>
    <mergeCell ref="B40:B45"/>
    <mergeCell ref="B46:B49"/>
    <mergeCell ref="B51:B57"/>
    <mergeCell ref="A1:I1"/>
    <mergeCell ref="B16:B19"/>
    <mergeCell ref="B3:B9"/>
    <mergeCell ref="A3:A32"/>
    <mergeCell ref="B64:B70"/>
    <mergeCell ref="B58:B63"/>
    <mergeCell ref="A95:A125"/>
    <mergeCell ref="B82:B88"/>
    <mergeCell ref="B89:B94"/>
    <mergeCell ref="B95:B101"/>
    <mergeCell ref="B102:B107"/>
    <mergeCell ref="B108:B111"/>
    <mergeCell ref="A64:A94"/>
    <mergeCell ref="B113:B119"/>
    <mergeCell ref="B120:B125"/>
    <mergeCell ref="B77:B80"/>
    <mergeCell ref="B71:B76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1"/>
  </sheetPr>
  <dimension ref="A1:AR37"/>
  <sheetViews>
    <sheetView zoomScale="70" zoomScaleNormal="70" workbookViewId="0">
      <selection activeCell="U4" sqref="U4"/>
    </sheetView>
  </sheetViews>
  <sheetFormatPr baseColWidth="10" defaultColWidth="11.26953125" defaultRowHeight="12.75" customHeight="1" x14ac:dyDescent="0.35"/>
  <cols>
    <col min="1" max="13" width="9" style="74" customWidth="1"/>
    <col min="14" max="14" width="9" style="288" customWidth="1"/>
    <col min="15" max="21" width="9" style="74" customWidth="1"/>
    <col min="22" max="22" width="5" style="74" customWidth="1"/>
    <col min="23" max="23" width="8.54296875" style="74" bestFit="1" customWidth="1"/>
    <col min="24" max="16384" width="11.26953125" style="74"/>
  </cols>
  <sheetData>
    <row r="1" spans="1:44" s="73" customFormat="1" ht="18.75" customHeight="1" x14ac:dyDescent="0.25">
      <c r="A1" s="282" t="s">
        <v>226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5"/>
      <c r="O1" s="280"/>
      <c r="P1" s="280"/>
      <c r="Q1" s="280"/>
      <c r="R1" s="472" t="s">
        <v>292</v>
      </c>
      <c r="S1" s="280"/>
      <c r="T1" s="280"/>
      <c r="U1" s="285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</row>
    <row r="2" spans="1:44" s="73" customFormat="1" ht="18.75" customHeight="1" x14ac:dyDescent="0.25">
      <c r="A2" s="177"/>
      <c r="B2" s="256" t="s">
        <v>291</v>
      </c>
      <c r="C2" s="256" t="s">
        <v>291</v>
      </c>
      <c r="D2" s="256" t="s">
        <v>291</v>
      </c>
      <c r="E2" s="256" t="s">
        <v>291</v>
      </c>
      <c r="F2" s="256" t="s">
        <v>291</v>
      </c>
      <c r="G2" s="256" t="s">
        <v>291</v>
      </c>
      <c r="H2" s="256" t="s">
        <v>291</v>
      </c>
      <c r="I2" s="256" t="s">
        <v>291</v>
      </c>
      <c r="J2" s="256" t="s">
        <v>291</v>
      </c>
      <c r="K2" s="256" t="s">
        <v>291</v>
      </c>
      <c r="L2" s="256" t="s">
        <v>291</v>
      </c>
      <c r="M2" s="256" t="s">
        <v>291</v>
      </c>
      <c r="N2" s="256" t="s">
        <v>291</v>
      </c>
      <c r="O2" s="256" t="s">
        <v>291</v>
      </c>
      <c r="P2" s="256" t="s">
        <v>291</v>
      </c>
      <c r="Q2" s="256" t="str">
        <f>P2</f>
        <v>Electricity</v>
      </c>
      <c r="R2" s="467" t="s">
        <v>290</v>
      </c>
      <c r="S2" s="256" t="s">
        <v>290</v>
      </c>
      <c r="T2" s="256" t="s">
        <v>290</v>
      </c>
      <c r="U2" s="507" t="str">
        <f>T2</f>
        <v>Hydrogen</v>
      </c>
      <c r="X2" s="513" t="s">
        <v>229</v>
      </c>
      <c r="Y2" s="514"/>
      <c r="Z2" s="514"/>
      <c r="AA2" s="515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</row>
    <row r="3" spans="1:44" s="73" customFormat="1" ht="20.25" customHeight="1" x14ac:dyDescent="0.25">
      <c r="A3" s="257"/>
      <c r="B3" s="258">
        <v>2008</v>
      </c>
      <c r="C3" s="258">
        <v>2009</v>
      </c>
      <c r="D3" s="258">
        <v>2010</v>
      </c>
      <c r="E3" s="258">
        <v>2011</v>
      </c>
      <c r="F3" s="258">
        <v>2012</v>
      </c>
      <c r="G3" s="258">
        <v>2013</v>
      </c>
      <c r="H3" s="258">
        <v>2014</v>
      </c>
      <c r="I3" s="258">
        <v>2015</v>
      </c>
      <c r="J3" s="258">
        <v>2016</v>
      </c>
      <c r="K3" s="258">
        <v>2017</v>
      </c>
      <c r="L3" s="258">
        <v>2018</v>
      </c>
      <c r="M3" s="258">
        <v>2019</v>
      </c>
      <c r="N3" s="258">
        <v>2030</v>
      </c>
      <c r="O3" s="258">
        <v>2040</v>
      </c>
      <c r="P3" s="258">
        <v>2050</v>
      </c>
      <c r="Q3" s="258" t="s">
        <v>199</v>
      </c>
      <c r="R3" s="468">
        <v>2030</v>
      </c>
      <c r="S3" s="258">
        <v>2040</v>
      </c>
      <c r="T3" s="258">
        <v>2050</v>
      </c>
      <c r="U3" s="508" t="s">
        <v>199</v>
      </c>
      <c r="W3" s="179"/>
      <c r="X3" s="516"/>
      <c r="Y3" s="517"/>
      <c r="Z3" s="517"/>
      <c r="AA3" s="518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</row>
    <row r="4" spans="1:44" s="170" customFormat="1" ht="12.75" customHeight="1" x14ac:dyDescent="0.35">
      <c r="A4" s="181" t="s">
        <v>74</v>
      </c>
      <c r="B4" s="94">
        <v>64.67124625000001</v>
      </c>
      <c r="C4" s="94">
        <v>63.579246250000011</v>
      </c>
      <c r="D4" s="94">
        <v>66.77724624999999</v>
      </c>
      <c r="E4" s="94">
        <v>67.154246250000014</v>
      </c>
      <c r="F4" s="94">
        <v>68.493246249999999</v>
      </c>
      <c r="G4" s="94">
        <v>68.317246249999997</v>
      </c>
      <c r="H4" s="94">
        <v>67.753246250000018</v>
      </c>
      <c r="I4" s="94">
        <v>68.738389250000012</v>
      </c>
      <c r="J4" s="94">
        <v>67.766610999999997</v>
      </c>
      <c r="K4" s="94">
        <v>68.848191999999997</v>
      </c>
      <c r="L4" s="94">
        <v>69.003731000000002</v>
      </c>
      <c r="M4" s="94">
        <v>69.395273000000003</v>
      </c>
      <c r="N4" s="290">
        <f t="shared" ref="N4:N19" si="0">AVERAGE(J4:M4)</f>
        <v>68.753451750000011</v>
      </c>
      <c r="O4" s="290">
        <f>N4</f>
        <v>68.753451750000011</v>
      </c>
      <c r="P4" s="290">
        <f>O4</f>
        <v>68.753451750000011</v>
      </c>
      <c r="Q4" s="290">
        <f t="shared" ref="Q4:Q21" si="1">P4</f>
        <v>68.753451750000011</v>
      </c>
      <c r="R4" s="469">
        <v>0</v>
      </c>
      <c r="S4" s="290">
        <v>0</v>
      </c>
      <c r="T4" s="290">
        <v>0</v>
      </c>
      <c r="U4" s="290">
        <f t="shared" ref="U4:U21" si="2">T4</f>
        <v>0</v>
      </c>
      <c r="W4" s="179"/>
      <c r="X4" s="516"/>
      <c r="Y4" s="517"/>
      <c r="Z4" s="517"/>
      <c r="AA4" s="518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</row>
    <row r="5" spans="1:44" s="170" customFormat="1" ht="12.75" customHeight="1" x14ac:dyDescent="0.35">
      <c r="A5" s="181" t="s">
        <v>45</v>
      </c>
      <c r="B5" s="94">
        <v>90.648891500000019</v>
      </c>
      <c r="C5" s="94">
        <v>84.355891500000013</v>
      </c>
      <c r="D5" s="94">
        <v>90.6568915</v>
      </c>
      <c r="E5" s="94">
        <v>87.93189150000002</v>
      </c>
      <c r="F5" s="94">
        <v>88.550891500000006</v>
      </c>
      <c r="G5" s="94">
        <v>88.497891499999994</v>
      </c>
      <c r="H5" s="94">
        <v>86.055891500000001</v>
      </c>
      <c r="I5" s="94">
        <v>87.026189500000001</v>
      </c>
      <c r="J5" s="94">
        <v>87.164795999999996</v>
      </c>
      <c r="K5" s="94">
        <v>87.653001000000017</v>
      </c>
      <c r="L5" s="94">
        <v>88.222448999999983</v>
      </c>
      <c r="M5" s="94">
        <v>86.898236999999995</v>
      </c>
      <c r="N5" s="290">
        <f t="shared" si="0"/>
        <v>87.484620750000005</v>
      </c>
      <c r="O5" s="290">
        <f t="shared" ref="O5" si="3">N5</f>
        <v>87.484620750000005</v>
      </c>
      <c r="P5" s="290">
        <f t="shared" ref="P5:P19" si="4">O5</f>
        <v>87.484620750000005</v>
      </c>
      <c r="Q5" s="290">
        <f t="shared" si="1"/>
        <v>87.484620750000005</v>
      </c>
      <c r="R5" s="469">
        <v>0</v>
      </c>
      <c r="S5" s="290">
        <v>0</v>
      </c>
      <c r="T5" s="290">
        <v>0</v>
      </c>
      <c r="U5" s="290">
        <f t="shared" si="2"/>
        <v>0</v>
      </c>
      <c r="W5" s="73"/>
      <c r="X5" s="516"/>
      <c r="Y5" s="517"/>
      <c r="Z5" s="517"/>
      <c r="AA5" s="518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</row>
    <row r="6" spans="1:44" s="170" customFormat="1" ht="12.75" customHeight="1" x14ac:dyDescent="0.35">
      <c r="A6" s="181" t="s">
        <v>72</v>
      </c>
      <c r="B6" s="94">
        <v>62.000348500000001</v>
      </c>
      <c r="C6" s="94">
        <v>60.506348500000001</v>
      </c>
      <c r="D6" s="94">
        <v>62.960348500000009</v>
      </c>
      <c r="E6" s="94">
        <v>61.856348499999996</v>
      </c>
      <c r="F6" s="94">
        <v>62.318348499999999</v>
      </c>
      <c r="G6" s="94">
        <v>62.527348500000002</v>
      </c>
      <c r="H6" s="94">
        <v>60.555348499999994</v>
      </c>
      <c r="I6" s="94">
        <v>61.174649500000001</v>
      </c>
      <c r="J6" s="94">
        <v>62.695549</v>
      </c>
      <c r="K6" s="94">
        <v>63.041786000000016</v>
      </c>
      <c r="L6" s="94">
        <v>61.973660000000002</v>
      </c>
      <c r="M6" s="94">
        <v>61.948701999999997</v>
      </c>
      <c r="N6" s="290">
        <f t="shared" si="0"/>
        <v>62.414924250000006</v>
      </c>
      <c r="O6" s="290">
        <f t="shared" ref="O6" si="5">N6</f>
        <v>62.414924250000006</v>
      </c>
      <c r="P6" s="290">
        <f t="shared" si="4"/>
        <v>62.414924250000006</v>
      </c>
      <c r="Q6" s="290">
        <f t="shared" si="1"/>
        <v>62.414924250000006</v>
      </c>
      <c r="R6" s="469">
        <v>0</v>
      </c>
      <c r="S6" s="290">
        <v>0</v>
      </c>
      <c r="T6" s="290">
        <v>0</v>
      </c>
      <c r="U6" s="290">
        <f t="shared" si="2"/>
        <v>0</v>
      </c>
      <c r="W6" s="73"/>
      <c r="X6" s="516"/>
      <c r="Y6" s="517"/>
      <c r="Z6" s="517"/>
      <c r="AA6" s="518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</row>
    <row r="7" spans="1:44" s="170" customFormat="1" ht="12.75" customHeight="1" x14ac:dyDescent="0.35">
      <c r="A7" s="181" t="s">
        <v>76</v>
      </c>
      <c r="B7" s="94">
        <v>64.164374749999993</v>
      </c>
      <c r="C7" s="94">
        <v>60.889374750000002</v>
      </c>
      <c r="D7" s="94">
        <v>63.060374750000008</v>
      </c>
      <c r="E7" s="94">
        <v>62.532374749999988</v>
      </c>
      <c r="F7" s="94">
        <v>62.515374749999992</v>
      </c>
      <c r="G7" s="94">
        <v>62.519374749999997</v>
      </c>
      <c r="H7" s="94">
        <v>61.498374749999996</v>
      </c>
      <c r="I7" s="94">
        <v>63.701015749999996</v>
      </c>
      <c r="J7" s="94">
        <v>63.853998000000004</v>
      </c>
      <c r="K7" s="94">
        <v>65.318359999999984</v>
      </c>
      <c r="L7" s="94">
        <v>65.507002</v>
      </c>
      <c r="M7" s="94">
        <v>65.231313</v>
      </c>
      <c r="N7" s="290">
        <f t="shared" si="0"/>
        <v>64.977668249999994</v>
      </c>
      <c r="O7" s="290">
        <f t="shared" ref="O7" si="6">N7</f>
        <v>64.977668249999994</v>
      </c>
      <c r="P7" s="290">
        <f t="shared" si="4"/>
        <v>64.977668249999994</v>
      </c>
      <c r="Q7" s="290">
        <f t="shared" si="1"/>
        <v>64.977668249999994</v>
      </c>
      <c r="R7" s="469">
        <v>0</v>
      </c>
      <c r="S7" s="290">
        <v>0</v>
      </c>
      <c r="T7" s="290">
        <v>0</v>
      </c>
      <c r="U7" s="290">
        <f t="shared" si="2"/>
        <v>0</v>
      </c>
      <c r="W7" s="73"/>
      <c r="X7" s="516"/>
      <c r="Y7" s="517"/>
      <c r="Z7" s="517"/>
      <c r="AA7" s="518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</row>
    <row r="8" spans="1:44" s="170" customFormat="1" ht="12.75" customHeight="1" x14ac:dyDescent="0.35">
      <c r="A8" s="181" t="s">
        <v>139</v>
      </c>
      <c r="B8" s="94">
        <v>36.304000000000002</v>
      </c>
      <c r="C8" s="94">
        <v>34.798000000000002</v>
      </c>
      <c r="D8" s="94">
        <v>35.736000000000004</v>
      </c>
      <c r="E8" s="94">
        <v>34.868000000000002</v>
      </c>
      <c r="F8" s="94">
        <v>34.436999999999998</v>
      </c>
      <c r="G8" s="94">
        <v>34.228000000000002</v>
      </c>
      <c r="H8" s="94">
        <v>33.491999999999997</v>
      </c>
      <c r="I8" s="94">
        <v>33.606997</v>
      </c>
      <c r="J8" s="94">
        <v>34.138159999999999</v>
      </c>
      <c r="K8" s="94">
        <v>34.218817999999999</v>
      </c>
      <c r="L8" s="94">
        <v>33.970233999999991</v>
      </c>
      <c r="M8" s="94">
        <v>34.651379999999996</v>
      </c>
      <c r="N8" s="290">
        <f t="shared" si="0"/>
        <v>34.244647999999998</v>
      </c>
      <c r="O8" s="290">
        <f t="shared" ref="O8" si="7">N8</f>
        <v>34.244647999999998</v>
      </c>
      <c r="P8" s="290">
        <f t="shared" si="4"/>
        <v>34.244647999999998</v>
      </c>
      <c r="Q8" s="290">
        <f t="shared" si="1"/>
        <v>34.244647999999998</v>
      </c>
      <c r="R8" s="469">
        <v>0</v>
      </c>
      <c r="S8" s="290">
        <v>0</v>
      </c>
      <c r="T8" s="290">
        <v>0</v>
      </c>
      <c r="U8" s="290">
        <f t="shared" si="2"/>
        <v>0</v>
      </c>
      <c r="W8" s="73"/>
      <c r="X8" s="516"/>
      <c r="Y8" s="517"/>
      <c r="Z8" s="517"/>
      <c r="AA8" s="518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</row>
    <row r="9" spans="1:44" ht="12.75" customHeight="1" x14ac:dyDescent="0.35">
      <c r="A9" s="181" t="s">
        <v>69</v>
      </c>
      <c r="B9" s="94">
        <v>286.93260475</v>
      </c>
      <c r="C9" s="94">
        <v>271.76860475000001</v>
      </c>
      <c r="D9" s="94">
        <v>279.04460475000002</v>
      </c>
      <c r="E9" s="94">
        <v>273.61560474999999</v>
      </c>
      <c r="F9" s="94">
        <v>271.79660475000003</v>
      </c>
      <c r="G9" s="94">
        <v>264.15060475000007</v>
      </c>
      <c r="H9" s="94">
        <v>261.52160475000005</v>
      </c>
      <c r="I9" s="94">
        <v>275.23325775000006</v>
      </c>
      <c r="J9" s="220">
        <v>267.19199699999996</v>
      </c>
      <c r="K9" s="220">
        <v>270.48000200000001</v>
      </c>
      <c r="L9" s="220">
        <v>271.23665</v>
      </c>
      <c r="M9" s="220">
        <v>267.60234100000002</v>
      </c>
      <c r="N9" s="291">
        <f t="shared" si="0"/>
        <v>269.1277475</v>
      </c>
      <c r="O9" s="291">
        <f t="shared" ref="O9" si="8">N9</f>
        <v>269.1277475</v>
      </c>
      <c r="P9" s="291">
        <f t="shared" si="4"/>
        <v>269.1277475</v>
      </c>
      <c r="Q9" s="291">
        <f t="shared" si="1"/>
        <v>269.1277475</v>
      </c>
      <c r="R9" s="469">
        <v>0</v>
      </c>
      <c r="S9" s="290">
        <v>0</v>
      </c>
      <c r="T9" s="290">
        <v>0</v>
      </c>
      <c r="U9" s="290">
        <f t="shared" si="2"/>
        <v>0</v>
      </c>
      <c r="V9" s="170"/>
      <c r="W9" s="73"/>
      <c r="X9" s="516"/>
      <c r="Y9" s="517"/>
      <c r="Z9" s="517"/>
      <c r="AA9" s="518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</row>
    <row r="10" spans="1:44" ht="12.75" customHeight="1" x14ac:dyDescent="0.35">
      <c r="A10" s="181" t="s">
        <v>71</v>
      </c>
      <c r="B10" s="94">
        <v>87.250999999999991</v>
      </c>
      <c r="C10" s="94">
        <v>81.293000000000006</v>
      </c>
      <c r="D10" s="94">
        <v>87.702000000000012</v>
      </c>
      <c r="E10" s="94">
        <v>84.242000000000004</v>
      </c>
      <c r="F10" s="94">
        <v>85.128</v>
      </c>
      <c r="G10" s="94">
        <v>84.046000000000021</v>
      </c>
      <c r="H10" s="94">
        <v>83.291000000000011</v>
      </c>
      <c r="I10" s="94">
        <v>82.285793000000012</v>
      </c>
      <c r="J10" s="94">
        <v>85.151173</v>
      </c>
      <c r="K10" s="94">
        <v>85.463127</v>
      </c>
      <c r="L10" s="94">
        <v>87.396467000000001</v>
      </c>
      <c r="M10" s="94">
        <v>86.221756999999997</v>
      </c>
      <c r="N10" s="290">
        <f t="shared" si="0"/>
        <v>86.058131000000003</v>
      </c>
      <c r="O10" s="290">
        <f t="shared" ref="O10" si="9">N10</f>
        <v>86.058131000000003</v>
      </c>
      <c r="P10" s="290">
        <f t="shared" si="4"/>
        <v>86.058131000000003</v>
      </c>
      <c r="Q10" s="290">
        <f t="shared" si="1"/>
        <v>86.058131000000003</v>
      </c>
      <c r="R10" s="469">
        <v>0</v>
      </c>
      <c r="S10" s="290">
        <v>0</v>
      </c>
      <c r="T10" s="290">
        <v>0</v>
      </c>
      <c r="U10" s="290">
        <f t="shared" si="2"/>
        <v>0</v>
      </c>
      <c r="V10" s="170"/>
      <c r="W10" s="73"/>
      <c r="X10" s="516"/>
      <c r="Y10" s="517"/>
      <c r="Z10" s="517"/>
      <c r="AA10" s="518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</row>
    <row r="11" spans="1:44" ht="12.75" customHeight="1" x14ac:dyDescent="0.35">
      <c r="A11" s="181" t="s">
        <v>46</v>
      </c>
      <c r="B11" s="94">
        <v>493.61901949999992</v>
      </c>
      <c r="C11" s="94">
        <v>479.50601949999998</v>
      </c>
      <c r="D11" s="94">
        <v>506.82801949999998</v>
      </c>
      <c r="E11" s="94">
        <v>473.35801950000001</v>
      </c>
      <c r="F11" s="94">
        <v>490.0220195</v>
      </c>
      <c r="G11" s="94">
        <v>493.50501949999995</v>
      </c>
      <c r="H11" s="94">
        <v>465.36301950000001</v>
      </c>
      <c r="I11" s="94">
        <v>472.17428150000001</v>
      </c>
      <c r="J11" s="94">
        <v>492.11609800000002</v>
      </c>
      <c r="K11" s="94">
        <v>490.85975299999996</v>
      </c>
      <c r="L11" s="94">
        <v>486.56136500000002</v>
      </c>
      <c r="M11" s="94">
        <v>486.77330499999994</v>
      </c>
      <c r="N11" s="290">
        <f t="shared" si="0"/>
        <v>489.07763024999997</v>
      </c>
      <c r="O11" s="290">
        <f t="shared" ref="O11" si="10">N11</f>
        <v>489.07763024999997</v>
      </c>
      <c r="P11" s="290">
        <f t="shared" si="4"/>
        <v>489.07763024999997</v>
      </c>
      <c r="Q11" s="290">
        <f t="shared" si="1"/>
        <v>489.07763024999997</v>
      </c>
      <c r="R11" s="469">
        <v>0</v>
      </c>
      <c r="S11" s="290">
        <v>0</v>
      </c>
      <c r="T11" s="290">
        <v>0</v>
      </c>
      <c r="U11" s="290">
        <f t="shared" si="2"/>
        <v>0</v>
      </c>
      <c r="V11" s="170"/>
      <c r="W11" s="73"/>
      <c r="X11" s="516"/>
      <c r="Y11" s="517"/>
      <c r="Z11" s="517"/>
      <c r="AA11" s="518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</row>
    <row r="12" spans="1:44" ht="12.75" customHeight="1" x14ac:dyDescent="0.35">
      <c r="A12" s="181" t="s">
        <v>49</v>
      </c>
      <c r="B12" s="94">
        <v>380.22400924999999</v>
      </c>
      <c r="C12" s="94">
        <v>359.65800925000002</v>
      </c>
      <c r="D12" s="94">
        <v>364.91400924999994</v>
      </c>
      <c r="E12" s="94">
        <v>353.70400925000001</v>
      </c>
      <c r="F12" s="94">
        <v>353.98100925000006</v>
      </c>
      <c r="G12" s="94">
        <v>352.34600925000001</v>
      </c>
      <c r="H12" s="94">
        <v>336.79900924999998</v>
      </c>
      <c r="I12" s="94">
        <v>332.40905825000004</v>
      </c>
      <c r="J12" s="94">
        <v>337.54176899999999</v>
      </c>
      <c r="K12" s="94">
        <v>333.60108200000002</v>
      </c>
      <c r="L12" s="94">
        <v>337.90776099999999</v>
      </c>
      <c r="M12" s="94">
        <v>332.00026499999996</v>
      </c>
      <c r="N12" s="290">
        <f t="shared" si="0"/>
        <v>335.26271924999998</v>
      </c>
      <c r="O12" s="290">
        <f t="shared" ref="O12" si="11">N12</f>
        <v>335.26271924999998</v>
      </c>
      <c r="P12" s="290">
        <f t="shared" si="4"/>
        <v>335.26271924999998</v>
      </c>
      <c r="Q12" s="290">
        <f t="shared" si="1"/>
        <v>335.26271924999998</v>
      </c>
      <c r="R12" s="469">
        <v>0</v>
      </c>
      <c r="S12" s="290">
        <v>0</v>
      </c>
      <c r="T12" s="290">
        <v>0</v>
      </c>
      <c r="U12" s="290">
        <f t="shared" si="2"/>
        <v>0</v>
      </c>
      <c r="V12" s="170"/>
      <c r="W12" s="73"/>
      <c r="X12" s="516"/>
      <c r="Y12" s="517"/>
      <c r="Z12" s="517"/>
      <c r="AA12" s="518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</row>
    <row r="13" spans="1:44" ht="12.75" customHeight="1" x14ac:dyDescent="0.35">
      <c r="A13" s="181" t="s">
        <v>16</v>
      </c>
      <c r="B13" s="94">
        <v>573.00951199999997</v>
      </c>
      <c r="C13" s="94">
        <v>538.41751199999999</v>
      </c>
      <c r="D13" s="94">
        <v>572.01651199999992</v>
      </c>
      <c r="E13" s="94">
        <v>565.29651200000001</v>
      </c>
      <c r="F13" s="94">
        <v>564.34451200000001</v>
      </c>
      <c r="G13" s="94">
        <v>556.65251199999989</v>
      </c>
      <c r="H13" s="94">
        <v>537.99351200000001</v>
      </c>
      <c r="I13" s="94">
        <v>555.75856799999997</v>
      </c>
      <c r="J13" s="503">
        <f>599-52-5/0.7</f>
        <v>539.85714285714289</v>
      </c>
      <c r="K13" s="94">
        <v>558.34199700000011</v>
      </c>
      <c r="L13" s="94">
        <v>558.92639199999996</v>
      </c>
      <c r="M13" s="94">
        <v>541.89911400000005</v>
      </c>
      <c r="N13" s="290">
        <f t="shared" si="0"/>
        <v>549.7561614642857</v>
      </c>
      <c r="O13" s="290">
        <f t="shared" ref="O13" si="12">N13</f>
        <v>549.7561614642857</v>
      </c>
      <c r="P13" s="290">
        <f t="shared" si="4"/>
        <v>549.7561614642857</v>
      </c>
      <c r="Q13" s="290">
        <f t="shared" si="1"/>
        <v>549.7561614642857</v>
      </c>
      <c r="R13" s="469">
        <v>0</v>
      </c>
      <c r="S13" s="290">
        <v>0</v>
      </c>
      <c r="T13" s="290">
        <v>0</v>
      </c>
      <c r="U13" s="290">
        <f t="shared" si="2"/>
        <v>0</v>
      </c>
      <c r="V13" s="170"/>
      <c r="W13" s="186"/>
      <c r="X13" s="516"/>
      <c r="Y13" s="517"/>
      <c r="Z13" s="517"/>
      <c r="AA13" s="518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</row>
    <row r="14" spans="1:44" ht="12.75" customHeight="1" x14ac:dyDescent="0.35">
      <c r="A14" s="181" t="s">
        <v>79</v>
      </c>
      <c r="B14" s="94">
        <v>64.3</v>
      </c>
      <c r="C14" s="94">
        <v>62.5</v>
      </c>
      <c r="D14" s="94">
        <v>59.3</v>
      </c>
      <c r="E14" s="94">
        <v>59.9</v>
      </c>
      <c r="F14" s="94">
        <v>61.1</v>
      </c>
      <c r="G14" s="94">
        <v>55.1</v>
      </c>
      <c r="H14" s="94">
        <v>55.1</v>
      </c>
      <c r="I14" s="94">
        <v>56.6</v>
      </c>
      <c r="J14" s="94">
        <v>59.3</v>
      </c>
      <c r="K14" s="94">
        <v>60.4</v>
      </c>
      <c r="L14" s="94">
        <v>54.3</v>
      </c>
      <c r="M14" s="94">
        <v>53.5</v>
      </c>
      <c r="N14" s="290">
        <f t="shared" si="0"/>
        <v>56.875</v>
      </c>
      <c r="O14" s="290">
        <f t="shared" ref="O14" si="13">N14</f>
        <v>56.875</v>
      </c>
      <c r="P14" s="290">
        <f t="shared" si="4"/>
        <v>56.875</v>
      </c>
      <c r="Q14" s="290">
        <f t="shared" si="1"/>
        <v>56.875</v>
      </c>
      <c r="R14" s="469">
        <v>0</v>
      </c>
      <c r="S14" s="290">
        <v>0</v>
      </c>
      <c r="T14" s="290">
        <v>0</v>
      </c>
      <c r="U14" s="290">
        <f t="shared" si="2"/>
        <v>0</v>
      </c>
      <c r="V14" s="170"/>
      <c r="W14" s="186"/>
      <c r="X14" s="516"/>
      <c r="Y14" s="517"/>
      <c r="Z14" s="517"/>
      <c r="AA14" s="518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</row>
    <row r="15" spans="1:44" s="170" customFormat="1" ht="12.75" customHeight="1" x14ac:dyDescent="0.35">
      <c r="A15" s="181" t="s">
        <v>73</v>
      </c>
      <c r="B15" s="94">
        <v>344.77145875000002</v>
      </c>
      <c r="C15" s="94">
        <v>323.73745874999997</v>
      </c>
      <c r="D15" s="94">
        <v>332.57645874999997</v>
      </c>
      <c r="E15" s="94">
        <v>334.84445875</v>
      </c>
      <c r="F15" s="94">
        <v>328.57845874999998</v>
      </c>
      <c r="G15" s="94">
        <v>318.63945875000007</v>
      </c>
      <c r="H15" s="94">
        <v>309.60645875</v>
      </c>
      <c r="I15" s="94">
        <v>314.98892375000003</v>
      </c>
      <c r="J15" s="94">
        <v>314.26162199999993</v>
      </c>
      <c r="K15" s="94">
        <v>320.548137</v>
      </c>
      <c r="L15" s="94">
        <v>322.07867999999996</v>
      </c>
      <c r="M15" s="94">
        <v>319.67281800000001</v>
      </c>
      <c r="N15" s="290">
        <f t="shared" si="0"/>
        <v>319.14031424999996</v>
      </c>
      <c r="O15" s="290">
        <f t="shared" ref="O15" si="14">N15</f>
        <v>319.14031424999996</v>
      </c>
      <c r="P15" s="290">
        <f t="shared" si="4"/>
        <v>319.14031424999996</v>
      </c>
      <c r="Q15" s="290">
        <f t="shared" si="1"/>
        <v>319.14031424999996</v>
      </c>
      <c r="R15" s="469">
        <v>0</v>
      </c>
      <c r="S15" s="290">
        <v>0</v>
      </c>
      <c r="T15" s="290">
        <v>0</v>
      </c>
      <c r="U15" s="290">
        <f t="shared" si="2"/>
        <v>0</v>
      </c>
      <c r="W15" s="73"/>
      <c r="X15" s="516"/>
      <c r="Y15" s="517"/>
      <c r="Z15" s="517"/>
      <c r="AA15" s="518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</row>
    <row r="16" spans="1:44" ht="12.75" customHeight="1" x14ac:dyDescent="0.35">
      <c r="A16" s="181" t="s">
        <v>44</v>
      </c>
      <c r="B16" s="94">
        <v>119.22399999999999</v>
      </c>
      <c r="C16" s="94">
        <v>113.83500000000001</v>
      </c>
      <c r="D16" s="94">
        <v>117.12099999999998</v>
      </c>
      <c r="E16" s="94">
        <v>118.13000000000002</v>
      </c>
      <c r="F16" s="94">
        <v>115.761</v>
      </c>
      <c r="G16" s="94">
        <v>115.045</v>
      </c>
      <c r="H16" s="94">
        <v>113.42099999999999</v>
      </c>
      <c r="I16" s="94">
        <v>115.080108</v>
      </c>
      <c r="J16" s="94">
        <v>115.94662</v>
      </c>
      <c r="K16" s="94">
        <v>116.978785</v>
      </c>
      <c r="L16" s="94">
        <v>117.54177299999999</v>
      </c>
      <c r="M16" s="94">
        <v>117.65814500000002</v>
      </c>
      <c r="N16" s="290">
        <f t="shared" si="0"/>
        <v>117.03133075</v>
      </c>
      <c r="O16" s="290">
        <f t="shared" ref="O16" si="15">N16</f>
        <v>117.03133075</v>
      </c>
      <c r="P16" s="290">
        <f t="shared" si="4"/>
        <v>117.03133075</v>
      </c>
      <c r="Q16" s="290">
        <f t="shared" si="1"/>
        <v>117.03133075</v>
      </c>
      <c r="R16" s="469">
        <v>0</v>
      </c>
      <c r="S16" s="290">
        <v>0</v>
      </c>
      <c r="T16" s="290">
        <v>0</v>
      </c>
      <c r="U16" s="290">
        <f t="shared" si="2"/>
        <v>0</v>
      </c>
      <c r="V16" s="170"/>
      <c r="W16" s="73"/>
      <c r="X16" s="516"/>
      <c r="Y16" s="517"/>
      <c r="Z16" s="517"/>
      <c r="AA16" s="518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</row>
    <row r="17" spans="1:44" ht="12.75" customHeight="1" x14ac:dyDescent="0.35">
      <c r="A17" s="181" t="s">
        <v>47</v>
      </c>
      <c r="B17" s="94">
        <v>126.35046625000001</v>
      </c>
      <c r="C17" s="94">
        <v>120.89546625</v>
      </c>
      <c r="D17" s="94">
        <v>129.33446624999999</v>
      </c>
      <c r="E17" s="94">
        <v>122.70246625</v>
      </c>
      <c r="F17" s="94">
        <v>128.05446625000002</v>
      </c>
      <c r="G17" s="94">
        <v>127.31346624999999</v>
      </c>
      <c r="H17" s="94">
        <v>124.85646625</v>
      </c>
      <c r="I17" s="94">
        <v>128.43442824999997</v>
      </c>
      <c r="J17" s="220">
        <v>131.19600700000001</v>
      </c>
      <c r="K17" s="220">
        <v>132.531002</v>
      </c>
      <c r="L17" s="220">
        <v>135.65373199999999</v>
      </c>
      <c r="M17" s="220">
        <v>133.578766</v>
      </c>
      <c r="N17" s="291">
        <f t="shared" si="0"/>
        <v>133.23987675000001</v>
      </c>
      <c r="O17" s="291">
        <f t="shared" ref="O17" si="16">N17</f>
        <v>133.23987675000001</v>
      </c>
      <c r="P17" s="291">
        <f t="shared" si="4"/>
        <v>133.23987675000001</v>
      </c>
      <c r="Q17" s="291">
        <f t="shared" si="1"/>
        <v>133.23987675000001</v>
      </c>
      <c r="R17" s="469">
        <v>0</v>
      </c>
      <c r="S17" s="290">
        <v>0</v>
      </c>
      <c r="T17" s="290">
        <v>0</v>
      </c>
      <c r="U17" s="290">
        <f t="shared" si="2"/>
        <v>0</v>
      </c>
      <c r="V17" s="170"/>
      <c r="W17" s="73"/>
      <c r="X17" s="516"/>
      <c r="Y17" s="517"/>
      <c r="Z17" s="517"/>
      <c r="AA17" s="518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</row>
    <row r="18" spans="1:44" ht="12.75" customHeight="1" x14ac:dyDescent="0.35">
      <c r="A18" s="181" t="s">
        <v>43</v>
      </c>
      <c r="B18" s="94">
        <v>140.04662875000002</v>
      </c>
      <c r="C18" s="94">
        <v>134.93862875000002</v>
      </c>
      <c r="D18" s="94">
        <v>141.34162875000001</v>
      </c>
      <c r="E18" s="94">
        <v>142.91262875000001</v>
      </c>
      <c r="F18" s="94">
        <v>144.04962875000004</v>
      </c>
      <c r="G18" s="94">
        <v>144.76062875000002</v>
      </c>
      <c r="H18" s="94">
        <v>146.53662875000001</v>
      </c>
      <c r="I18" s="94">
        <v>149.91188675000004</v>
      </c>
      <c r="J18" s="220">
        <v>153.25787</v>
      </c>
      <c r="K18" s="220">
        <v>156.42146299999999</v>
      </c>
      <c r="L18" s="220">
        <v>159.824071</v>
      </c>
      <c r="M18" s="220">
        <v>158.975098</v>
      </c>
      <c r="N18" s="291">
        <f t="shared" si="0"/>
        <v>157.11962549999998</v>
      </c>
      <c r="O18" s="291">
        <f t="shared" ref="O18" si="17">N18</f>
        <v>157.11962549999998</v>
      </c>
      <c r="P18" s="291">
        <f t="shared" si="4"/>
        <v>157.11962549999998</v>
      </c>
      <c r="Q18" s="291">
        <f t="shared" si="1"/>
        <v>157.11962549999998</v>
      </c>
      <c r="R18" s="469">
        <v>0</v>
      </c>
      <c r="S18" s="290">
        <v>0</v>
      </c>
      <c r="T18" s="290">
        <v>0</v>
      </c>
      <c r="U18" s="290">
        <f t="shared" si="2"/>
        <v>0</v>
      </c>
      <c r="V18" s="170"/>
      <c r="W18" s="73"/>
      <c r="X18" s="516"/>
      <c r="Y18" s="517"/>
      <c r="Z18" s="517"/>
      <c r="AA18" s="518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</row>
    <row r="19" spans="1:44" ht="12.75" customHeight="1" x14ac:dyDescent="0.35">
      <c r="A19" s="182" t="s">
        <v>26</v>
      </c>
      <c r="B19" s="183">
        <v>144.37579875</v>
      </c>
      <c r="C19" s="183">
        <v>137.95879875000003</v>
      </c>
      <c r="D19" s="183">
        <v>147.28779875000001</v>
      </c>
      <c r="E19" s="183">
        <v>139.62979875000002</v>
      </c>
      <c r="F19" s="183">
        <v>143.18779875000001</v>
      </c>
      <c r="G19" s="183">
        <v>139.46379875</v>
      </c>
      <c r="H19" s="183">
        <v>134.92279875</v>
      </c>
      <c r="I19" s="183">
        <v>135.56808774999999</v>
      </c>
      <c r="J19" s="238">
        <v>140.62603900000002</v>
      </c>
      <c r="K19" s="238">
        <v>141.49800200000001</v>
      </c>
      <c r="L19" s="238">
        <v>138.475348</v>
      </c>
      <c r="M19" s="238">
        <v>136.26907499999999</v>
      </c>
      <c r="N19" s="292">
        <f t="shared" si="0"/>
        <v>139.217116</v>
      </c>
      <c r="O19" s="292">
        <f t="shared" ref="O19" si="18">N19</f>
        <v>139.217116</v>
      </c>
      <c r="P19" s="292">
        <f t="shared" si="4"/>
        <v>139.217116</v>
      </c>
      <c r="Q19" s="292">
        <f t="shared" si="1"/>
        <v>139.217116</v>
      </c>
      <c r="R19" s="470">
        <v>0</v>
      </c>
      <c r="S19" s="292">
        <v>0</v>
      </c>
      <c r="T19" s="292">
        <v>0</v>
      </c>
      <c r="U19" s="509">
        <f t="shared" si="2"/>
        <v>0</v>
      </c>
      <c r="X19" s="516"/>
      <c r="Y19" s="517"/>
      <c r="Z19" s="517"/>
      <c r="AA19" s="518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</row>
    <row r="20" spans="1:44" ht="12.75" customHeight="1" x14ac:dyDescent="0.35">
      <c r="A20" s="188" t="s">
        <v>140</v>
      </c>
      <c r="B20" s="187">
        <f t="shared" ref="B20:T20" si="19">SUM(B4:B19)</f>
        <v>3077.8933590000001</v>
      </c>
      <c r="C20" s="187">
        <f t="shared" si="19"/>
        <v>2928.6373590000003</v>
      </c>
      <c r="D20" s="187">
        <f t="shared" si="19"/>
        <v>3056.6573589999998</v>
      </c>
      <c r="E20" s="187">
        <f t="shared" si="19"/>
        <v>2982.6783589999995</v>
      </c>
      <c r="F20" s="187">
        <f t="shared" si="19"/>
        <v>3002.3183590000008</v>
      </c>
      <c r="G20" s="187">
        <f t="shared" si="19"/>
        <v>2967.1123589999997</v>
      </c>
      <c r="H20" s="187">
        <f t="shared" si="19"/>
        <v>2878.7663589999997</v>
      </c>
      <c r="I20" s="187">
        <f t="shared" si="19"/>
        <v>2932.6916340000002</v>
      </c>
      <c r="J20" s="187">
        <f t="shared" si="19"/>
        <v>2952.0654518571432</v>
      </c>
      <c r="K20" s="187">
        <f t="shared" si="19"/>
        <v>2986.2035070000002</v>
      </c>
      <c r="L20" s="187">
        <f t="shared" si="19"/>
        <v>2988.579315</v>
      </c>
      <c r="M20" s="187">
        <f t="shared" si="19"/>
        <v>2952.2755889999999</v>
      </c>
      <c r="N20" s="187">
        <f t="shared" si="19"/>
        <v>2969.7809657142852</v>
      </c>
      <c r="O20" s="187">
        <f t="shared" si="19"/>
        <v>2969.7809657142852</v>
      </c>
      <c r="P20" s="187">
        <f t="shared" si="19"/>
        <v>2969.7809657142852</v>
      </c>
      <c r="Q20" s="187">
        <f t="shared" si="1"/>
        <v>2969.7809657142852</v>
      </c>
      <c r="R20" s="471">
        <f t="shared" si="19"/>
        <v>0</v>
      </c>
      <c r="S20" s="187">
        <f t="shared" si="19"/>
        <v>0</v>
      </c>
      <c r="T20" s="187">
        <f t="shared" si="19"/>
        <v>0</v>
      </c>
      <c r="U20" s="187">
        <f t="shared" si="2"/>
        <v>0</v>
      </c>
      <c r="X20" s="516"/>
      <c r="Y20" s="517"/>
      <c r="Z20" s="517"/>
      <c r="AA20" s="518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</row>
    <row r="21" spans="1:44" ht="12.75" customHeight="1" x14ac:dyDescent="0.35">
      <c r="A21" s="188" t="s">
        <v>141</v>
      </c>
      <c r="B21" s="187">
        <f>B5+B11+B13+B16+B17+B18+B19</f>
        <v>1687.27431675</v>
      </c>
      <c r="C21" s="187">
        <f t="shared" ref="C21:T21" si="20">C5+C11+C13+C16+C17+C18+C19</f>
        <v>1609.9073167500001</v>
      </c>
      <c r="D21" s="187">
        <f t="shared" si="20"/>
        <v>1704.5863167499997</v>
      </c>
      <c r="E21" s="187">
        <f t="shared" si="20"/>
        <v>1649.9613167500004</v>
      </c>
      <c r="F21" s="187">
        <f t="shared" si="20"/>
        <v>1673.9703167499999</v>
      </c>
      <c r="G21" s="187">
        <f t="shared" si="20"/>
        <v>1665.2383167499997</v>
      </c>
      <c r="H21" s="187">
        <f t="shared" si="20"/>
        <v>1609.1493167500003</v>
      </c>
      <c r="I21" s="187">
        <f t="shared" si="20"/>
        <v>1643.9535497499999</v>
      </c>
      <c r="J21" s="187">
        <f t="shared" si="20"/>
        <v>1660.1645728571427</v>
      </c>
      <c r="K21" s="187">
        <f t="shared" si="20"/>
        <v>1684.284003</v>
      </c>
      <c r="L21" s="187">
        <f t="shared" si="20"/>
        <v>1685.2051299999998</v>
      </c>
      <c r="M21" s="187">
        <f t="shared" si="20"/>
        <v>1662.0517400000001</v>
      </c>
      <c r="N21" s="187">
        <f t="shared" si="20"/>
        <v>1672.9263614642857</v>
      </c>
      <c r="O21" s="187">
        <f t="shared" si="20"/>
        <v>1672.9263614642857</v>
      </c>
      <c r="P21" s="187">
        <f t="shared" si="20"/>
        <v>1672.9263614642857</v>
      </c>
      <c r="Q21" s="187">
        <f t="shared" si="1"/>
        <v>1672.9263614642857</v>
      </c>
      <c r="R21" s="471">
        <f t="shared" si="20"/>
        <v>0</v>
      </c>
      <c r="S21" s="187">
        <f t="shared" si="20"/>
        <v>0</v>
      </c>
      <c r="T21" s="187">
        <f t="shared" si="20"/>
        <v>0</v>
      </c>
      <c r="U21" s="187">
        <f t="shared" si="2"/>
        <v>0</v>
      </c>
      <c r="X21" s="516"/>
      <c r="Y21" s="517"/>
      <c r="Z21" s="517"/>
      <c r="AA21" s="518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</row>
    <row r="22" spans="1:44" ht="12.75" customHeight="1" x14ac:dyDescent="0.35">
      <c r="A22" s="188"/>
      <c r="B22" s="189" t="s">
        <v>142</v>
      </c>
      <c r="C22" s="189" t="s">
        <v>143</v>
      </c>
      <c r="D22" s="189" t="s">
        <v>144</v>
      </c>
      <c r="E22" s="189" t="s">
        <v>145</v>
      </c>
      <c r="F22" s="189" t="s">
        <v>146</v>
      </c>
      <c r="G22" s="189" t="s">
        <v>147</v>
      </c>
      <c r="H22" s="189" t="s">
        <v>148</v>
      </c>
      <c r="I22" s="189" t="s">
        <v>149</v>
      </c>
      <c r="J22" s="189" t="s">
        <v>150</v>
      </c>
      <c r="K22" s="189" t="s">
        <v>227</v>
      </c>
      <c r="L22" s="189" t="s">
        <v>228</v>
      </c>
      <c r="M22" s="189" t="s">
        <v>232</v>
      </c>
      <c r="N22" s="287"/>
      <c r="O22" s="189"/>
      <c r="P22" s="189"/>
      <c r="Q22" s="189"/>
      <c r="R22" s="189"/>
      <c r="S22" s="189"/>
      <c r="T22" s="189"/>
      <c r="U22" s="189"/>
      <c r="X22" s="516"/>
      <c r="Y22" s="517"/>
      <c r="Z22" s="517"/>
      <c r="AA22" s="518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</row>
    <row r="23" spans="1:44" ht="12.75" customHeight="1" x14ac:dyDescent="0.35">
      <c r="A23" s="188"/>
      <c r="B23" s="187"/>
      <c r="C23" s="187"/>
      <c r="D23" s="187"/>
      <c r="E23" s="187"/>
      <c r="F23" s="187"/>
      <c r="G23" s="187"/>
      <c r="H23" s="187"/>
      <c r="I23" s="190"/>
      <c r="J23" s="187"/>
      <c r="K23" s="187"/>
      <c r="L23" s="187"/>
      <c r="M23" s="187"/>
      <c r="N23" s="286"/>
      <c r="O23" s="187"/>
      <c r="P23" s="187"/>
      <c r="Q23" s="187"/>
      <c r="R23" s="187"/>
      <c r="S23" s="187"/>
      <c r="T23" s="187"/>
      <c r="U23" s="187"/>
      <c r="X23" s="516"/>
      <c r="Y23" s="517"/>
      <c r="Z23" s="517"/>
      <c r="AA23" s="518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</row>
    <row r="24" spans="1:44" ht="12.75" customHeight="1" x14ac:dyDescent="0.35">
      <c r="A24" s="188"/>
      <c r="X24" s="516"/>
      <c r="Y24" s="517"/>
      <c r="Z24" s="517"/>
      <c r="AA24" s="518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</row>
    <row r="25" spans="1:44" ht="12.75" customHeight="1" x14ac:dyDescent="0.35">
      <c r="J25" s="504" t="s">
        <v>295</v>
      </c>
      <c r="X25" s="519"/>
      <c r="Y25" s="520"/>
      <c r="Z25" s="520"/>
      <c r="AA25" s="521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</row>
    <row r="26" spans="1:44" s="117" customFormat="1" ht="12.75" customHeight="1" x14ac:dyDescent="0.35">
      <c r="N26" s="289"/>
      <c r="X26" s="117" t="s">
        <v>197</v>
      </c>
    </row>
    <row r="27" spans="1:44" s="117" customFormat="1" ht="12.75" customHeight="1" x14ac:dyDescent="0.35">
      <c r="N27" s="289"/>
    </row>
    <row r="28" spans="1:44" s="117" customFormat="1" ht="12.75" customHeight="1" x14ac:dyDescent="0.35">
      <c r="N28" s="289"/>
    </row>
    <row r="29" spans="1:44" s="117" customFormat="1" ht="12.75" customHeight="1" x14ac:dyDescent="0.35">
      <c r="B29" s="118"/>
      <c r="C29" s="118"/>
      <c r="D29" s="118"/>
      <c r="E29" s="118"/>
      <c r="F29" s="118"/>
      <c r="G29" s="118"/>
      <c r="H29" s="118"/>
      <c r="I29" s="118"/>
      <c r="N29" s="289"/>
    </row>
    <row r="30" spans="1:44" s="117" customFormat="1" ht="12.75" customHeight="1" x14ac:dyDescent="0.35">
      <c r="B30" s="118"/>
      <c r="C30" s="118"/>
      <c r="D30" s="118"/>
      <c r="E30" s="118"/>
      <c r="F30" s="118"/>
      <c r="G30" s="118"/>
      <c r="H30" s="118"/>
      <c r="I30" s="118"/>
      <c r="N30" s="289"/>
    </row>
    <row r="31" spans="1:44" s="117" customFormat="1" ht="12.75" customHeight="1" x14ac:dyDescent="0.35">
      <c r="B31" s="118"/>
      <c r="C31" s="118"/>
      <c r="D31" s="118"/>
      <c r="E31" s="118"/>
      <c r="F31" s="118"/>
      <c r="G31" s="118"/>
      <c r="H31" s="118"/>
      <c r="I31" s="118"/>
      <c r="N31" s="289"/>
    </row>
    <row r="32" spans="1:44" s="117" customFormat="1" ht="12.75" customHeight="1" x14ac:dyDescent="0.35">
      <c r="B32" s="118"/>
      <c r="C32" s="118"/>
      <c r="D32" s="118"/>
      <c r="E32" s="118"/>
      <c r="F32" s="118"/>
      <c r="G32" s="118"/>
      <c r="H32" s="118"/>
      <c r="I32" s="118"/>
      <c r="N32" s="289"/>
    </row>
    <row r="33" spans="2:14" s="117" customFormat="1" ht="12.75" customHeight="1" x14ac:dyDescent="0.35">
      <c r="B33" s="118"/>
      <c r="C33" s="118"/>
      <c r="D33" s="118"/>
      <c r="E33" s="118"/>
      <c r="F33" s="118"/>
      <c r="G33" s="118"/>
      <c r="H33" s="118"/>
      <c r="I33" s="118"/>
      <c r="N33" s="289"/>
    </row>
    <row r="34" spans="2:14" s="117" customFormat="1" ht="12.75" customHeight="1" x14ac:dyDescent="0.35">
      <c r="B34" s="118"/>
      <c r="C34" s="118"/>
      <c r="D34" s="118"/>
      <c r="E34" s="118"/>
      <c r="F34" s="118"/>
      <c r="G34" s="118"/>
      <c r="H34" s="118"/>
      <c r="I34" s="118"/>
      <c r="N34" s="289"/>
    </row>
    <row r="35" spans="2:14" s="117" customFormat="1" ht="12.75" customHeight="1" x14ac:dyDescent="0.35">
      <c r="B35" s="118"/>
      <c r="C35" s="118"/>
      <c r="D35" s="118"/>
      <c r="E35" s="118"/>
      <c r="F35" s="118"/>
      <c r="G35" s="118"/>
      <c r="H35" s="118"/>
      <c r="I35" s="118"/>
      <c r="N35" s="289"/>
    </row>
    <row r="36" spans="2:14" s="117" customFormat="1" ht="12.75" customHeight="1" x14ac:dyDescent="0.35">
      <c r="B36" s="118"/>
      <c r="C36" s="118"/>
      <c r="D36" s="118"/>
      <c r="E36" s="118"/>
      <c r="F36" s="118"/>
      <c r="G36" s="118"/>
      <c r="H36" s="118"/>
      <c r="I36" s="118"/>
      <c r="N36" s="289"/>
    </row>
    <row r="37" spans="2:14" s="117" customFormat="1" ht="12.75" customHeight="1" x14ac:dyDescent="0.35">
      <c r="B37" s="118"/>
      <c r="C37" s="118"/>
      <c r="D37" s="118"/>
      <c r="E37" s="118"/>
      <c r="F37" s="118"/>
      <c r="G37" s="118"/>
      <c r="H37" s="118"/>
      <c r="I37" s="118"/>
      <c r="N37" s="289"/>
    </row>
  </sheetData>
  <mergeCells count="1">
    <mergeCell ref="X2:AA25"/>
  </mergeCells>
  <phoneticPr fontId="49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1"/>
  </sheetPr>
  <dimension ref="A1:AE64"/>
  <sheetViews>
    <sheetView tabSelected="1" zoomScale="85" zoomScaleNormal="85" workbookViewId="0">
      <pane xSplit="1" ySplit="3" topLeftCell="T4" activePane="bottomRight" state="frozen"/>
      <selection pane="topRight" activeCell="B1" sqref="B1"/>
      <selection pane="bottomLeft" activeCell="A4" sqref="A4"/>
      <selection pane="bottomRight" activeCell="W20" sqref="W20"/>
    </sheetView>
  </sheetViews>
  <sheetFormatPr baseColWidth="10" defaultColWidth="11.26953125" defaultRowHeight="12.75" customHeight="1" x14ac:dyDescent="0.35"/>
  <cols>
    <col min="1" max="1" width="12.7265625" style="74" customWidth="1"/>
    <col min="2" max="18" width="9" style="74" customWidth="1"/>
    <col min="19" max="19" width="7" style="74" customWidth="1"/>
    <col min="20" max="20" width="10.7265625" style="74" customWidth="1"/>
    <col min="21" max="21" width="9" style="74" customWidth="1"/>
    <col min="22" max="22" width="17.81640625" style="74" customWidth="1"/>
    <col min="23" max="16384" width="11.26953125" style="74"/>
  </cols>
  <sheetData>
    <row r="1" spans="1:31" s="73" customFormat="1" ht="18.75" customHeight="1" x14ac:dyDescent="0.25">
      <c r="A1" s="282" t="s">
        <v>249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</row>
    <row r="2" spans="1:31" s="73" customFormat="1" ht="15" customHeight="1" x14ac:dyDescent="0.25">
      <c r="A2" s="177"/>
      <c r="B2" s="256" t="s">
        <v>222</v>
      </c>
      <c r="C2" s="256" t="s">
        <v>222</v>
      </c>
      <c r="D2" s="256" t="s">
        <v>222</v>
      </c>
      <c r="E2" s="256" t="s">
        <v>222</v>
      </c>
      <c r="F2" s="256" t="s">
        <v>222</v>
      </c>
      <c r="G2" s="256" t="s">
        <v>222</v>
      </c>
      <c r="H2" s="256" t="s">
        <v>222</v>
      </c>
      <c r="I2" s="256" t="s">
        <v>222</v>
      </c>
      <c r="J2" s="256" t="s">
        <v>222</v>
      </c>
      <c r="K2" s="256" t="s">
        <v>222</v>
      </c>
      <c r="L2" s="256" t="s">
        <v>222</v>
      </c>
      <c r="M2" s="256" t="s">
        <v>222</v>
      </c>
      <c r="N2" s="256" t="s">
        <v>222</v>
      </c>
      <c r="O2" s="256" t="s">
        <v>222</v>
      </c>
      <c r="P2" s="256" t="s">
        <v>222</v>
      </c>
      <c r="Q2" s="256" t="s">
        <v>222</v>
      </c>
      <c r="R2" s="256"/>
      <c r="S2" s="318"/>
      <c r="U2" s="319"/>
      <c r="V2" s="319"/>
      <c r="W2" s="531" t="s">
        <v>298</v>
      </c>
      <c r="X2" s="531"/>
      <c r="Y2" s="531"/>
      <c r="Z2" s="531"/>
      <c r="AA2" s="531"/>
      <c r="AB2" s="531"/>
      <c r="AC2" s="531"/>
      <c r="AD2" s="531"/>
      <c r="AE2" s="318"/>
    </row>
    <row r="3" spans="1:31" s="73" customFormat="1" ht="14.5" x14ac:dyDescent="0.25">
      <c r="A3" s="257"/>
      <c r="B3" s="258">
        <v>2008</v>
      </c>
      <c r="C3" s="258">
        <v>2009</v>
      </c>
      <c r="D3" s="258">
        <v>2010</v>
      </c>
      <c r="E3" s="258">
        <v>2011</v>
      </c>
      <c r="F3" s="258">
        <v>2012</v>
      </c>
      <c r="G3" s="258">
        <v>2013</v>
      </c>
      <c r="H3" s="258">
        <v>2014</v>
      </c>
      <c r="I3" s="258">
        <v>2015</v>
      </c>
      <c r="J3" s="258">
        <v>2016</v>
      </c>
      <c r="K3" s="258">
        <v>2017</v>
      </c>
      <c r="L3" s="258">
        <v>2018</v>
      </c>
      <c r="M3" s="258">
        <v>2019</v>
      </c>
      <c r="N3" s="259">
        <v>2030</v>
      </c>
      <c r="O3" s="259">
        <v>2040</v>
      </c>
      <c r="P3" s="259">
        <v>2050</v>
      </c>
      <c r="Q3" s="259" t="s">
        <v>199</v>
      </c>
      <c r="R3" s="259"/>
      <c r="S3" s="320"/>
      <c r="T3" s="319"/>
      <c r="U3" s="319"/>
      <c r="V3" s="319"/>
      <c r="W3" s="531"/>
      <c r="X3" s="531"/>
      <c r="Y3" s="531"/>
      <c r="Z3" s="531"/>
      <c r="AA3" s="531"/>
      <c r="AB3" s="531"/>
      <c r="AC3" s="531"/>
      <c r="AD3" s="531"/>
      <c r="AE3" s="318"/>
    </row>
    <row r="4" spans="1:31" s="170" customFormat="1" ht="12.75" customHeight="1" x14ac:dyDescent="0.35">
      <c r="A4" s="168" t="s">
        <v>51</v>
      </c>
      <c r="B4" s="169">
        <v>3</v>
      </c>
      <c r="C4" s="169">
        <v>3</v>
      </c>
      <c r="D4" s="169">
        <v>3</v>
      </c>
      <c r="E4" s="169">
        <v>3</v>
      </c>
      <c r="F4" s="169">
        <v>3</v>
      </c>
      <c r="G4" s="169">
        <v>3</v>
      </c>
      <c r="H4" s="169">
        <v>3</v>
      </c>
      <c r="I4" s="169">
        <v>3</v>
      </c>
      <c r="J4" s="169">
        <v>3</v>
      </c>
      <c r="K4" s="169">
        <v>3</v>
      </c>
      <c r="L4" s="169">
        <v>3</v>
      </c>
      <c r="M4" s="169">
        <v>3</v>
      </c>
      <c r="N4" s="169">
        <v>3</v>
      </c>
      <c r="O4" s="169">
        <v>3</v>
      </c>
      <c r="P4" s="169">
        <v>3</v>
      </c>
      <c r="Q4" s="169">
        <v>3</v>
      </c>
      <c r="R4" s="315"/>
      <c r="S4" s="321"/>
      <c r="T4" s="319"/>
      <c r="U4" s="319"/>
      <c r="V4" s="319"/>
      <c r="W4" s="531"/>
      <c r="X4" s="531"/>
      <c r="Y4" s="531"/>
      <c r="Z4" s="531"/>
      <c r="AA4" s="531"/>
      <c r="AB4" s="531"/>
      <c r="AC4" s="531"/>
      <c r="AD4" s="531"/>
      <c r="AE4" s="322"/>
    </row>
    <row r="5" spans="1:31" s="170" customFormat="1" ht="12.75" customHeight="1" x14ac:dyDescent="0.35">
      <c r="A5" s="168" t="s">
        <v>52</v>
      </c>
      <c r="B5" s="169">
        <v>3</v>
      </c>
      <c r="C5" s="169">
        <v>3</v>
      </c>
      <c r="D5" s="169">
        <v>3</v>
      </c>
      <c r="E5" s="169">
        <v>3</v>
      </c>
      <c r="F5" s="169">
        <v>3</v>
      </c>
      <c r="G5" s="169">
        <v>3</v>
      </c>
      <c r="H5" s="169">
        <v>3</v>
      </c>
      <c r="I5" s="169">
        <v>3</v>
      </c>
      <c r="J5" s="169">
        <v>3</v>
      </c>
      <c r="K5" s="169">
        <v>3</v>
      </c>
      <c r="L5" s="169">
        <v>3</v>
      </c>
      <c r="M5" s="169">
        <v>3</v>
      </c>
      <c r="N5" s="169">
        <v>3</v>
      </c>
      <c r="O5" s="169">
        <v>3</v>
      </c>
      <c r="P5" s="169">
        <v>3</v>
      </c>
      <c r="Q5" s="169">
        <v>3</v>
      </c>
      <c r="R5" s="315"/>
      <c r="S5" s="321"/>
      <c r="T5" s="319"/>
      <c r="U5" s="319"/>
      <c r="V5" s="319"/>
      <c r="W5" s="531"/>
      <c r="X5" s="531"/>
      <c r="Y5" s="531"/>
      <c r="Z5" s="531"/>
      <c r="AA5" s="531"/>
      <c r="AB5" s="531"/>
      <c r="AC5" s="531"/>
      <c r="AD5" s="531"/>
      <c r="AE5" s="322"/>
    </row>
    <row r="6" spans="1:31" s="170" customFormat="1" ht="12.75" customHeight="1" x14ac:dyDescent="0.35">
      <c r="A6" s="127" t="s">
        <v>53</v>
      </c>
      <c r="B6" s="94">
        <f>B20+1.5</f>
        <v>18.177454532122887</v>
      </c>
      <c r="C6" s="94">
        <f t="shared" ref="C6:L6" si="0">C20+1.5</f>
        <v>9.4798259636144575</v>
      </c>
      <c r="D6" s="94">
        <f t="shared" si="0"/>
        <v>11.946400489448624</v>
      </c>
      <c r="E6" s="94">
        <f t="shared" si="0"/>
        <v>15.224086291610366</v>
      </c>
      <c r="F6" s="94">
        <f t="shared" si="0"/>
        <v>11.946400489448624</v>
      </c>
      <c r="G6" s="94">
        <f t="shared" si="0"/>
        <v>10.7255130772022</v>
      </c>
      <c r="H6" s="94">
        <f t="shared" si="0"/>
        <v>10.013091663284303</v>
      </c>
      <c r="I6" s="94">
        <v>7.53573193782145</v>
      </c>
      <c r="J6" s="94">
        <f t="shared" si="0"/>
        <v>8.2857442884862387</v>
      </c>
      <c r="K6" s="94">
        <f t="shared" si="0"/>
        <v>11.044143733755448</v>
      </c>
      <c r="L6" s="94">
        <f t="shared" si="0"/>
        <v>11.870445503292055</v>
      </c>
      <c r="M6" s="304">
        <f>L6</f>
        <v>11.870445503292055</v>
      </c>
      <c r="N6" s="304">
        <v>8.4663506063530605</v>
      </c>
      <c r="O6" s="94">
        <f>N6+((P6-N6)/2)</f>
        <v>8.8336126694570396</v>
      </c>
      <c r="P6" s="304">
        <v>9.2008747325610205</v>
      </c>
      <c r="Q6" s="304">
        <f t="shared" ref="N6:Q6" si="1">P6</f>
        <v>9.2008747325610205</v>
      </c>
      <c r="R6" s="315"/>
      <c r="S6" s="321"/>
      <c r="T6" s="319"/>
      <c r="U6" s="319"/>
      <c r="V6" s="319"/>
      <c r="W6" s="531"/>
      <c r="X6" s="531"/>
      <c r="Y6" s="531"/>
      <c r="Z6" s="531"/>
      <c r="AA6" s="531"/>
      <c r="AB6" s="531"/>
      <c r="AC6" s="531"/>
      <c r="AD6" s="531"/>
      <c r="AE6" s="322"/>
    </row>
    <row r="7" spans="1:31" ht="12.75" customHeight="1" x14ac:dyDescent="0.35">
      <c r="A7" s="127" t="s">
        <v>54</v>
      </c>
      <c r="B7" s="94">
        <f>B23+0.8</f>
        <v>31.285371198697561</v>
      </c>
      <c r="C7" s="94">
        <f t="shared" ref="C7:M7" si="2">C23+0.8</f>
        <v>22.467510039728261</v>
      </c>
      <c r="D7" s="94">
        <f t="shared" si="2"/>
        <v>21.968544868175766</v>
      </c>
      <c r="E7" s="94">
        <f t="shared" si="2"/>
        <v>26.781392125325279</v>
      </c>
      <c r="F7" s="94">
        <f t="shared" si="2"/>
        <v>32.626133370735737</v>
      </c>
      <c r="G7" s="94">
        <f t="shared" si="2"/>
        <v>29.554071334081836</v>
      </c>
      <c r="H7" s="94">
        <f t="shared" si="2"/>
        <v>27.680719057093917</v>
      </c>
      <c r="I7" s="94">
        <v>21.743783166032401</v>
      </c>
      <c r="J7" s="94">
        <f t="shared" si="2"/>
        <v>14.445168449599997</v>
      </c>
      <c r="K7" s="94">
        <f t="shared" si="2"/>
        <v>18.802693134927381</v>
      </c>
      <c r="L7" s="94">
        <f t="shared" si="2"/>
        <v>25.608570910496567</v>
      </c>
      <c r="M7" s="94">
        <f t="shared" si="2"/>
        <v>14.746519228144209</v>
      </c>
      <c r="N7" s="94">
        <v>28.563886760900701</v>
      </c>
      <c r="O7" s="94">
        <f>N7+((P7-N7)/2)</f>
        <v>32.518733903989599</v>
      </c>
      <c r="P7" s="94">
        <v>36.473581047078497</v>
      </c>
      <c r="Q7" s="94">
        <f>P7</f>
        <v>36.473581047078497</v>
      </c>
      <c r="R7" s="315"/>
      <c r="S7" s="321"/>
      <c r="T7" s="319"/>
      <c r="U7" s="319"/>
      <c r="V7" s="319"/>
      <c r="W7" s="531"/>
      <c r="X7" s="531"/>
      <c r="Y7" s="531"/>
      <c r="Z7" s="531"/>
      <c r="AA7" s="531"/>
      <c r="AB7" s="531"/>
      <c r="AC7" s="531"/>
      <c r="AD7" s="531"/>
      <c r="AE7" s="288"/>
    </row>
    <row r="8" spans="1:31" ht="12.75" customHeight="1" x14ac:dyDescent="0.35">
      <c r="A8" s="127" t="str">
        <f>A5&amp;"_CCS"</f>
        <v>lign_CCS</v>
      </c>
      <c r="B8" s="94">
        <f>B5</f>
        <v>3</v>
      </c>
      <c r="C8" s="94">
        <f t="shared" ref="C8:Q8" si="3">C5</f>
        <v>3</v>
      </c>
      <c r="D8" s="94">
        <f t="shared" si="3"/>
        <v>3</v>
      </c>
      <c r="E8" s="94">
        <f t="shared" si="3"/>
        <v>3</v>
      </c>
      <c r="F8" s="94">
        <f t="shared" si="3"/>
        <v>3</v>
      </c>
      <c r="G8" s="94">
        <f t="shared" si="3"/>
        <v>3</v>
      </c>
      <c r="H8" s="94">
        <f t="shared" si="3"/>
        <v>3</v>
      </c>
      <c r="I8" s="94">
        <f t="shared" si="3"/>
        <v>3</v>
      </c>
      <c r="J8" s="94">
        <f t="shared" si="3"/>
        <v>3</v>
      </c>
      <c r="K8" s="94">
        <f t="shared" si="3"/>
        <v>3</v>
      </c>
      <c r="L8" s="94">
        <f t="shared" si="3"/>
        <v>3</v>
      </c>
      <c r="M8" s="94">
        <f t="shared" si="3"/>
        <v>3</v>
      </c>
      <c r="N8" s="94">
        <f t="shared" si="3"/>
        <v>3</v>
      </c>
      <c r="O8" s="94">
        <f t="shared" si="3"/>
        <v>3</v>
      </c>
      <c r="P8" s="94">
        <f t="shared" si="3"/>
        <v>3</v>
      </c>
      <c r="Q8" s="94">
        <f t="shared" si="3"/>
        <v>3</v>
      </c>
      <c r="R8" s="315"/>
      <c r="S8" s="321"/>
      <c r="T8" s="319"/>
      <c r="U8" s="319"/>
      <c r="V8" s="319"/>
      <c r="W8" s="531"/>
      <c r="X8" s="531"/>
      <c r="Y8" s="531"/>
      <c r="Z8" s="531"/>
      <c r="AA8" s="531"/>
      <c r="AB8" s="531"/>
      <c r="AC8" s="531"/>
      <c r="AD8" s="531"/>
      <c r="AE8" s="288"/>
    </row>
    <row r="9" spans="1:31" ht="12.75" customHeight="1" x14ac:dyDescent="0.35">
      <c r="A9" s="127" t="str">
        <f>A6&amp;"_CCS"</f>
        <v>coal_CCS</v>
      </c>
      <c r="B9" s="94">
        <f t="shared" ref="B9:Q10" si="4">B6</f>
        <v>18.177454532122887</v>
      </c>
      <c r="C9" s="94">
        <f t="shared" si="4"/>
        <v>9.4798259636144575</v>
      </c>
      <c r="D9" s="94">
        <f t="shared" si="4"/>
        <v>11.946400489448624</v>
      </c>
      <c r="E9" s="94">
        <f t="shared" si="4"/>
        <v>15.224086291610366</v>
      </c>
      <c r="F9" s="94">
        <f t="shared" si="4"/>
        <v>11.946400489448624</v>
      </c>
      <c r="G9" s="94">
        <f t="shared" si="4"/>
        <v>10.7255130772022</v>
      </c>
      <c r="H9" s="94">
        <f t="shared" si="4"/>
        <v>10.013091663284303</v>
      </c>
      <c r="I9" s="94">
        <f t="shared" si="4"/>
        <v>7.53573193782145</v>
      </c>
      <c r="J9" s="94">
        <f t="shared" si="4"/>
        <v>8.2857442884862387</v>
      </c>
      <c r="K9" s="94">
        <f t="shared" si="4"/>
        <v>11.044143733755448</v>
      </c>
      <c r="L9" s="94">
        <f t="shared" si="4"/>
        <v>11.870445503292055</v>
      </c>
      <c r="M9" s="94">
        <f t="shared" si="4"/>
        <v>11.870445503292055</v>
      </c>
      <c r="N9" s="94">
        <f t="shared" si="4"/>
        <v>8.4663506063530605</v>
      </c>
      <c r="O9" s="94">
        <f t="shared" si="4"/>
        <v>8.8336126694570396</v>
      </c>
      <c r="P9" s="94">
        <f t="shared" si="4"/>
        <v>9.2008747325610205</v>
      </c>
      <c r="Q9" s="94">
        <f t="shared" si="4"/>
        <v>9.2008747325610205</v>
      </c>
      <c r="R9" s="315"/>
      <c r="S9" s="321"/>
      <c r="T9" s="319"/>
      <c r="U9" s="319"/>
      <c r="V9" s="319"/>
      <c r="W9" s="531"/>
      <c r="X9" s="531"/>
      <c r="Y9" s="531"/>
      <c r="Z9" s="531"/>
      <c r="AA9" s="531"/>
      <c r="AB9" s="531"/>
      <c r="AC9" s="531"/>
      <c r="AD9" s="531"/>
      <c r="AE9" s="288"/>
    </row>
    <row r="10" spans="1:31" s="170" customFormat="1" ht="12.75" customHeight="1" x14ac:dyDescent="0.35">
      <c r="A10" s="127" t="str">
        <f>A7&amp;"_CCS"</f>
        <v>CCGT_CCS</v>
      </c>
      <c r="B10" s="94">
        <f t="shared" si="4"/>
        <v>31.285371198697561</v>
      </c>
      <c r="C10" s="94">
        <f t="shared" si="4"/>
        <v>22.467510039728261</v>
      </c>
      <c r="D10" s="94">
        <f t="shared" si="4"/>
        <v>21.968544868175766</v>
      </c>
      <c r="E10" s="94">
        <f t="shared" si="4"/>
        <v>26.781392125325279</v>
      </c>
      <c r="F10" s="94">
        <f t="shared" si="4"/>
        <v>32.626133370735737</v>
      </c>
      <c r="G10" s="94">
        <f t="shared" si="4"/>
        <v>29.554071334081836</v>
      </c>
      <c r="H10" s="94">
        <f t="shared" si="4"/>
        <v>27.680719057093917</v>
      </c>
      <c r="I10" s="94">
        <f t="shared" si="4"/>
        <v>21.743783166032401</v>
      </c>
      <c r="J10" s="94">
        <f t="shared" si="4"/>
        <v>14.445168449599997</v>
      </c>
      <c r="K10" s="94">
        <f t="shared" si="4"/>
        <v>18.802693134927381</v>
      </c>
      <c r="L10" s="94">
        <f t="shared" si="4"/>
        <v>25.608570910496567</v>
      </c>
      <c r="M10" s="94">
        <f t="shared" si="4"/>
        <v>14.746519228144209</v>
      </c>
      <c r="N10" s="94">
        <f t="shared" si="4"/>
        <v>28.563886760900701</v>
      </c>
      <c r="O10" s="94">
        <f t="shared" si="4"/>
        <v>32.518733903989599</v>
      </c>
      <c r="P10" s="94">
        <f t="shared" si="4"/>
        <v>36.473581047078497</v>
      </c>
      <c r="Q10" s="94">
        <f t="shared" si="4"/>
        <v>36.473581047078497</v>
      </c>
      <c r="R10" s="316"/>
      <c r="S10" s="322"/>
      <c r="T10" s="296" t="s">
        <v>269</v>
      </c>
      <c r="U10" s="296"/>
      <c r="V10" s="296"/>
      <c r="W10" s="531"/>
      <c r="X10" s="531"/>
      <c r="Y10" s="531"/>
      <c r="Z10" s="531"/>
      <c r="AA10" s="531"/>
      <c r="AB10" s="531"/>
      <c r="AC10" s="531"/>
      <c r="AD10" s="531"/>
      <c r="AE10" s="322"/>
    </row>
    <row r="11" spans="1:31" s="170" customFormat="1" ht="12.75" customHeight="1" x14ac:dyDescent="0.35">
      <c r="A11" s="303" t="s">
        <v>265</v>
      </c>
      <c r="B11" s="306">
        <v>150</v>
      </c>
      <c r="C11" s="306">
        <v>150</v>
      </c>
      <c r="D11" s="306">
        <v>150</v>
      </c>
      <c r="E11" s="306">
        <v>150</v>
      </c>
      <c r="F11" s="306">
        <v>150</v>
      </c>
      <c r="G11" s="306">
        <v>150</v>
      </c>
      <c r="H11" s="306">
        <v>150</v>
      </c>
      <c r="I11" s="306">
        <v>150</v>
      </c>
      <c r="J11" s="306">
        <v>150</v>
      </c>
      <c r="K11" s="306">
        <v>150</v>
      </c>
      <c r="L11" s="306">
        <v>150</v>
      </c>
      <c r="M11" s="306">
        <v>150</v>
      </c>
      <c r="N11" s="306">
        <v>150</v>
      </c>
      <c r="O11" s="306">
        <v>150</v>
      </c>
      <c r="P11" s="306">
        <v>150</v>
      </c>
      <c r="Q11" s="306">
        <v>150</v>
      </c>
      <c r="R11" s="317"/>
      <c r="S11" s="322"/>
      <c r="T11" s="323" t="str">
        <f>"-&gt; Avg. tranportation cost " &amp; AVERAGE(B11:Q12) + AVERAGE(B14:Q14)</f>
        <v>-&gt; Avg. tranportation cost 20</v>
      </c>
      <c r="U11" s="319"/>
      <c r="V11" s="319"/>
      <c r="W11" s="531"/>
      <c r="X11" s="531"/>
      <c r="Y11" s="531"/>
      <c r="Z11" s="531"/>
      <c r="AA11" s="531"/>
      <c r="AB11" s="531"/>
      <c r="AC11" s="531"/>
      <c r="AD11" s="531"/>
      <c r="AE11" s="322"/>
    </row>
    <row r="12" spans="1:31" s="170" customFormat="1" ht="12.75" customHeight="1" x14ac:dyDescent="0.35">
      <c r="A12" s="303" t="s">
        <v>266</v>
      </c>
      <c r="B12" s="306">
        <v>150</v>
      </c>
      <c r="C12" s="306">
        <v>150</v>
      </c>
      <c r="D12" s="306">
        <v>150</v>
      </c>
      <c r="E12" s="306">
        <v>150</v>
      </c>
      <c r="F12" s="306">
        <v>150</v>
      </c>
      <c r="G12" s="306">
        <v>150</v>
      </c>
      <c r="H12" s="306">
        <v>150</v>
      </c>
      <c r="I12" s="306">
        <v>150</v>
      </c>
      <c r="J12" s="306">
        <v>150</v>
      </c>
      <c r="K12" s="306">
        <v>150</v>
      </c>
      <c r="L12" s="306">
        <v>150</v>
      </c>
      <c r="M12" s="306">
        <v>150</v>
      </c>
      <c r="N12" s="306">
        <v>150</v>
      </c>
      <c r="O12" s="306">
        <v>150</v>
      </c>
      <c r="P12" s="306">
        <v>150</v>
      </c>
      <c r="Q12" s="306">
        <v>150</v>
      </c>
      <c r="R12" s="317"/>
      <c r="S12" s="322"/>
      <c r="T12" s="323" t="str">
        <f>"-&gt; Avg. import price " &amp; AVERAGE(B11:Q12)</f>
        <v>-&gt; Avg. import price 150</v>
      </c>
      <c r="U12" s="319"/>
      <c r="V12" s="319"/>
      <c r="W12" s="531"/>
      <c r="X12" s="531"/>
      <c r="Y12" s="531"/>
      <c r="Z12" s="531"/>
      <c r="AA12" s="531"/>
      <c r="AB12" s="531"/>
      <c r="AC12" s="531"/>
      <c r="AD12" s="531"/>
      <c r="AE12" s="322"/>
    </row>
    <row r="13" spans="1:31" ht="12.75" customHeight="1" x14ac:dyDescent="0.35">
      <c r="A13" s="127" t="s">
        <v>50</v>
      </c>
      <c r="B13" s="94">
        <f>B10</f>
        <v>31.285371198697561</v>
      </c>
      <c r="C13" s="94">
        <f t="shared" ref="C13:M13" si="5">C10</f>
        <v>22.467510039728261</v>
      </c>
      <c r="D13" s="94">
        <f t="shared" si="5"/>
        <v>21.968544868175766</v>
      </c>
      <c r="E13" s="94">
        <f t="shared" si="5"/>
        <v>26.781392125325279</v>
      </c>
      <c r="F13" s="94">
        <f t="shared" si="5"/>
        <v>32.626133370735737</v>
      </c>
      <c r="G13" s="94">
        <f t="shared" si="5"/>
        <v>29.554071334081836</v>
      </c>
      <c r="H13" s="94">
        <f t="shared" si="5"/>
        <v>27.680719057093917</v>
      </c>
      <c r="I13" s="94">
        <f t="shared" si="5"/>
        <v>21.743783166032401</v>
      </c>
      <c r="J13" s="94">
        <f t="shared" si="5"/>
        <v>14.445168449599997</v>
      </c>
      <c r="K13" s="94">
        <f t="shared" si="5"/>
        <v>18.802693134927381</v>
      </c>
      <c r="L13" s="94">
        <f t="shared" si="5"/>
        <v>25.608570910496567</v>
      </c>
      <c r="M13" s="94">
        <f t="shared" si="5"/>
        <v>14.746519228144209</v>
      </c>
      <c r="N13" s="94">
        <f>N10</f>
        <v>28.563886760900701</v>
      </c>
      <c r="O13" s="94">
        <f t="shared" ref="O13:Q13" si="6">O10</f>
        <v>32.518733903989599</v>
      </c>
      <c r="P13" s="94">
        <f t="shared" si="6"/>
        <v>36.473581047078497</v>
      </c>
      <c r="Q13" s="94">
        <f t="shared" si="6"/>
        <v>36.473581047078497</v>
      </c>
      <c r="R13" s="315"/>
      <c r="S13" s="288"/>
      <c r="T13" s="324" t="s">
        <v>270</v>
      </c>
      <c r="U13" s="319"/>
      <c r="V13" s="319"/>
      <c r="W13" s="531"/>
      <c r="X13" s="531"/>
      <c r="Y13" s="531"/>
      <c r="Z13" s="531"/>
      <c r="AA13" s="531"/>
      <c r="AB13" s="531"/>
      <c r="AC13" s="531"/>
      <c r="AD13" s="531"/>
      <c r="AE13" s="288"/>
    </row>
    <row r="14" spans="1:31" ht="12.75" customHeight="1" x14ac:dyDescent="0.35">
      <c r="A14" s="303" t="s">
        <v>267</v>
      </c>
      <c r="B14" s="306">
        <v>-130</v>
      </c>
      <c r="C14" s="306">
        <v>-130</v>
      </c>
      <c r="D14" s="306">
        <v>-130</v>
      </c>
      <c r="E14" s="306">
        <v>-130</v>
      </c>
      <c r="F14" s="306">
        <v>-130</v>
      </c>
      <c r="G14" s="306">
        <v>-130</v>
      </c>
      <c r="H14" s="306">
        <v>-130</v>
      </c>
      <c r="I14" s="306">
        <v>-130</v>
      </c>
      <c r="J14" s="306">
        <v>-130</v>
      </c>
      <c r="K14" s="306">
        <v>-130</v>
      </c>
      <c r="L14" s="306">
        <v>-130</v>
      </c>
      <c r="M14" s="306">
        <v>-130</v>
      </c>
      <c r="N14" s="306">
        <v>-130</v>
      </c>
      <c r="O14" s="306">
        <v>-130</v>
      </c>
      <c r="P14" s="306">
        <v>-130</v>
      </c>
      <c r="Q14" s="306">
        <v>-130</v>
      </c>
      <c r="R14" s="315"/>
      <c r="S14" s="288"/>
      <c r="T14" s="319" t="s">
        <v>271</v>
      </c>
      <c r="U14" s="319"/>
      <c r="V14" s="319"/>
      <c r="W14" s="531"/>
      <c r="X14" s="531"/>
      <c r="Y14" s="531"/>
      <c r="Z14" s="531"/>
      <c r="AA14" s="531"/>
      <c r="AB14" s="531"/>
      <c r="AC14" s="531"/>
      <c r="AD14" s="531"/>
      <c r="AE14" s="288"/>
    </row>
    <row r="15" spans="1:31" ht="12.75" customHeight="1" x14ac:dyDescent="0.35">
      <c r="A15" s="171" t="s">
        <v>55</v>
      </c>
      <c r="B15" s="172">
        <v>1000</v>
      </c>
      <c r="C15" s="172">
        <f>B15</f>
        <v>1000</v>
      </c>
      <c r="D15" s="172">
        <f t="shared" ref="D15:Q15" si="7">C15</f>
        <v>1000</v>
      </c>
      <c r="E15" s="172">
        <f t="shared" si="7"/>
        <v>1000</v>
      </c>
      <c r="F15" s="172">
        <f t="shared" si="7"/>
        <v>1000</v>
      </c>
      <c r="G15" s="172">
        <f t="shared" si="7"/>
        <v>1000</v>
      </c>
      <c r="H15" s="172">
        <f t="shared" si="7"/>
        <v>1000</v>
      </c>
      <c r="I15" s="172">
        <f t="shared" si="7"/>
        <v>1000</v>
      </c>
      <c r="J15" s="172">
        <f t="shared" si="7"/>
        <v>1000</v>
      </c>
      <c r="K15" s="172">
        <f t="shared" si="7"/>
        <v>1000</v>
      </c>
      <c r="L15" s="172">
        <f t="shared" si="7"/>
        <v>1000</v>
      </c>
      <c r="M15" s="172">
        <f t="shared" si="7"/>
        <v>1000</v>
      </c>
      <c r="N15" s="172">
        <f t="shared" si="7"/>
        <v>1000</v>
      </c>
      <c r="O15" s="172">
        <f t="shared" si="7"/>
        <v>1000</v>
      </c>
      <c r="P15" s="172">
        <f t="shared" si="7"/>
        <v>1000</v>
      </c>
      <c r="Q15" s="172">
        <f t="shared" si="7"/>
        <v>1000</v>
      </c>
      <c r="R15" s="316"/>
      <c r="S15" s="288"/>
      <c r="T15" s="319" t="b">
        <f>_xlfn.CONCAT(B11:Q11)=_xlfn.CONCAT(B12:Q12)</f>
        <v>1</v>
      </c>
      <c r="U15" s="319"/>
      <c r="V15" s="319"/>
      <c r="W15" s="531"/>
      <c r="X15" s="531"/>
      <c r="Y15" s="531"/>
      <c r="Z15" s="531"/>
      <c r="AA15" s="531"/>
      <c r="AB15" s="531"/>
      <c r="AC15" s="531"/>
      <c r="AD15" s="531"/>
      <c r="AE15" s="288"/>
    </row>
    <row r="16" spans="1:31" ht="12.75" customHeight="1" x14ac:dyDescent="0.35">
      <c r="S16" s="288"/>
      <c r="T16" s="319"/>
      <c r="U16" s="319"/>
      <c r="V16" s="319"/>
      <c r="W16" s="531"/>
      <c r="X16" s="531"/>
      <c r="Y16" s="531"/>
      <c r="Z16" s="531"/>
      <c r="AA16" s="531"/>
      <c r="AB16" s="531"/>
      <c r="AC16" s="531"/>
      <c r="AD16" s="531"/>
      <c r="AE16" s="288"/>
    </row>
    <row r="17" spans="1:31" ht="12.75" customHeight="1" x14ac:dyDescent="0.35">
      <c r="A17" s="163" t="s">
        <v>257</v>
      </c>
      <c r="S17" s="288"/>
      <c r="T17" s="319"/>
      <c r="U17" s="319"/>
      <c r="V17" s="319"/>
      <c r="W17" s="531"/>
      <c r="X17" s="531"/>
      <c r="Y17" s="531"/>
      <c r="Z17" s="531"/>
      <c r="AA17" s="531"/>
      <c r="AB17" s="531"/>
      <c r="AC17" s="531"/>
      <c r="AD17" s="531"/>
      <c r="AE17" s="288"/>
    </row>
    <row r="18" spans="1:31" ht="12.75" customHeight="1" x14ac:dyDescent="0.35">
      <c r="A18" s="74" t="s">
        <v>250</v>
      </c>
      <c r="B18" s="293">
        <v>147.67365384600001</v>
      </c>
      <c r="C18" s="293">
        <v>70.658867924500001</v>
      </c>
      <c r="D18" s="293">
        <v>92.499615384600006</v>
      </c>
      <c r="E18" s="293">
        <v>121.52249999999999</v>
      </c>
      <c r="F18" s="293">
        <v>92.499615384600006</v>
      </c>
      <c r="G18" s="293">
        <v>81.689038461500004</v>
      </c>
      <c r="H18" s="293">
        <v>75.380769230799999</v>
      </c>
      <c r="I18" s="293">
        <v>56.639622641499997</v>
      </c>
      <c r="J18" s="293">
        <v>60.0856474359</v>
      </c>
      <c r="K18" s="293">
        <v>84.510413461499994</v>
      </c>
      <c r="L18" s="293">
        <v>91.827057692300002</v>
      </c>
      <c r="S18" s="288"/>
      <c r="T18" s="319"/>
      <c r="U18" s="319"/>
      <c r="V18" s="319"/>
      <c r="W18" s="531"/>
      <c r="X18" s="531"/>
      <c r="Y18" s="531"/>
      <c r="Z18" s="531"/>
      <c r="AA18" s="531"/>
      <c r="AB18" s="531"/>
      <c r="AC18" s="531"/>
      <c r="AD18" s="531"/>
      <c r="AE18" s="288"/>
    </row>
    <row r="19" spans="1:31" ht="12.75" customHeight="1" x14ac:dyDescent="0.35">
      <c r="A19" s="74" t="s">
        <v>251</v>
      </c>
      <c r="B19" s="293">
        <f t="shared" ref="B19:L19" si="8">B18*0.9194</f>
        <v>135.77115734601242</v>
      </c>
      <c r="C19" s="293">
        <f t="shared" si="8"/>
        <v>64.963763169785295</v>
      </c>
      <c r="D19" s="293">
        <f t="shared" si="8"/>
        <v>85.044146384601248</v>
      </c>
      <c r="E19" s="293">
        <f t="shared" si="8"/>
        <v>111.72778649999999</v>
      </c>
      <c r="F19" s="293">
        <f t="shared" si="8"/>
        <v>85.044146384601248</v>
      </c>
      <c r="G19" s="293">
        <f t="shared" si="8"/>
        <v>75.104901961503103</v>
      </c>
      <c r="H19" s="293">
        <f t="shared" si="8"/>
        <v>69.305079230797517</v>
      </c>
      <c r="I19" s="293">
        <f t="shared" si="8"/>
        <v>52.074469056595099</v>
      </c>
      <c r="J19" s="293">
        <f t="shared" si="8"/>
        <v>55.24274425256646</v>
      </c>
      <c r="K19" s="293">
        <f t="shared" si="8"/>
        <v>77.698874136503093</v>
      </c>
      <c r="L19" s="293">
        <f t="shared" si="8"/>
        <v>84.425796842300628</v>
      </c>
      <c r="S19" s="288"/>
      <c r="T19" s="319"/>
      <c r="U19" s="319"/>
      <c r="V19" s="319"/>
      <c r="W19" s="531"/>
      <c r="X19" s="531"/>
      <c r="Y19" s="531"/>
      <c r="Z19" s="531"/>
      <c r="AA19" s="531"/>
      <c r="AB19" s="531"/>
      <c r="AC19" s="531"/>
      <c r="AD19" s="531"/>
      <c r="AE19" s="288"/>
    </row>
    <row r="20" spans="1:31" ht="12.75" customHeight="1" x14ac:dyDescent="0.35">
      <c r="A20" s="74" t="s">
        <v>252</v>
      </c>
      <c r="B20" s="293">
        <f t="shared" ref="B20:L20" si="9">B19/8.141</f>
        <v>16.677454532122887</v>
      </c>
      <c r="C20" s="293">
        <f t="shared" si="9"/>
        <v>7.9798259636144575</v>
      </c>
      <c r="D20" s="293">
        <f t="shared" si="9"/>
        <v>10.446400489448624</v>
      </c>
      <c r="E20" s="293">
        <f t="shared" si="9"/>
        <v>13.724086291610366</v>
      </c>
      <c r="F20" s="293">
        <f t="shared" si="9"/>
        <v>10.446400489448624</v>
      </c>
      <c r="G20" s="293">
        <f t="shared" si="9"/>
        <v>9.2255130772021996</v>
      </c>
      <c r="H20" s="293">
        <f t="shared" si="9"/>
        <v>8.5130916632843032</v>
      </c>
      <c r="I20" s="293">
        <f t="shared" si="9"/>
        <v>6.3965691016576711</v>
      </c>
      <c r="J20" s="293">
        <f t="shared" si="9"/>
        <v>6.7857442884862378</v>
      </c>
      <c r="K20" s="293">
        <f t="shared" si="9"/>
        <v>9.5441437337554476</v>
      </c>
      <c r="L20" s="293">
        <f t="shared" si="9"/>
        <v>10.370445503292055</v>
      </c>
      <c r="S20" s="288"/>
      <c r="T20" s="319"/>
      <c r="U20" s="319"/>
      <c r="V20" s="319"/>
      <c r="W20" s="319"/>
      <c r="X20" s="319"/>
      <c r="Y20" s="319"/>
      <c r="Z20" s="319"/>
      <c r="AA20" s="319"/>
      <c r="AB20" s="319"/>
      <c r="AC20" s="319"/>
      <c r="AD20" s="319"/>
      <c r="AE20" s="288"/>
    </row>
    <row r="21" spans="1:31" ht="12.75" customHeight="1" x14ac:dyDescent="0.35"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S21" s="288"/>
      <c r="T21" s="319"/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288"/>
    </row>
    <row r="22" spans="1:31" ht="12.75" customHeight="1" x14ac:dyDescent="0.35">
      <c r="A22" s="163" t="s">
        <v>258</v>
      </c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S22" s="288"/>
      <c r="T22" s="319"/>
      <c r="U22" s="319"/>
      <c r="V22" s="319"/>
      <c r="W22" s="319"/>
      <c r="X22" s="319"/>
      <c r="Y22" s="319"/>
      <c r="Z22" s="319"/>
      <c r="AA22" s="319"/>
      <c r="AB22" s="319"/>
      <c r="AC22" s="319"/>
      <c r="AD22" s="319"/>
      <c r="AE22" s="288"/>
    </row>
    <row r="23" spans="1:31" ht="23.25" customHeight="1" x14ac:dyDescent="0.35">
      <c r="A23" s="74" t="s">
        <v>252</v>
      </c>
      <c r="B23" s="305">
        <v>30.48537119869756</v>
      </c>
      <c r="C23" s="305">
        <v>21.66751003972826</v>
      </c>
      <c r="D23" s="305">
        <v>21.168544868175765</v>
      </c>
      <c r="E23" s="305">
        <v>25.981392125325279</v>
      </c>
      <c r="F23" s="305">
        <v>31.826133370735736</v>
      </c>
      <c r="G23" s="305">
        <v>28.754071334081836</v>
      </c>
      <c r="H23" s="305">
        <v>26.880719057093916</v>
      </c>
      <c r="I23" s="305">
        <v>22.471149719995019</v>
      </c>
      <c r="J23" s="305">
        <v>13.645168449599996</v>
      </c>
      <c r="K23" s="305">
        <v>18.00269313492738</v>
      </c>
      <c r="L23" s="305">
        <v>24.808570910496567</v>
      </c>
      <c r="M23" s="305">
        <v>13.946519228144208</v>
      </c>
      <c r="T23" s="307"/>
      <c r="U23" s="307"/>
      <c r="V23" s="307"/>
      <c r="W23" s="307"/>
      <c r="X23" s="307"/>
      <c r="Y23" s="307"/>
      <c r="Z23" s="307"/>
      <c r="AA23" s="307"/>
    </row>
    <row r="24" spans="1:31" ht="15" customHeight="1" x14ac:dyDescent="0.35"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T24" s="307"/>
      <c r="U24" s="307"/>
      <c r="V24" s="307"/>
      <c r="W24" s="307"/>
      <c r="X24" s="307"/>
      <c r="Y24" s="307"/>
      <c r="Z24" s="307"/>
      <c r="AA24" s="307"/>
    </row>
    <row r="25" spans="1:31" ht="14.5" x14ac:dyDescent="0.35">
      <c r="T25" s="307"/>
      <c r="U25" s="307"/>
      <c r="V25" s="307"/>
      <c r="W25" s="307"/>
      <c r="X25" s="307"/>
      <c r="Y25" s="307"/>
      <c r="Z25" s="307"/>
      <c r="AA25" s="307"/>
    </row>
    <row r="26" spans="1:31" ht="12.75" customHeight="1" x14ac:dyDescent="0.35">
      <c r="A26" s="282" t="s">
        <v>138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3"/>
      <c r="O26" s="283"/>
      <c r="P26" s="283"/>
      <c r="Q26" s="283"/>
      <c r="R26" s="281"/>
      <c r="T26" s="267" t="s">
        <v>268</v>
      </c>
      <c r="U26" s="308"/>
      <c r="V26" s="308"/>
      <c r="W26" s="308"/>
      <c r="X26" s="308"/>
      <c r="Y26" s="308"/>
      <c r="Z26" s="308"/>
      <c r="AA26" s="308"/>
      <c r="AB26" s="268"/>
      <c r="AC26" s="268"/>
      <c r="AD26" s="268"/>
    </row>
    <row r="27" spans="1:31" ht="12.75" customHeight="1" x14ac:dyDescent="0.35">
      <c r="A27" s="177"/>
      <c r="B27" s="256" t="s">
        <v>222</v>
      </c>
      <c r="C27" s="256" t="s">
        <v>222</v>
      </c>
      <c r="D27" s="256" t="s">
        <v>222</v>
      </c>
      <c r="E27" s="256" t="s">
        <v>222</v>
      </c>
      <c r="F27" s="256" t="s">
        <v>222</v>
      </c>
      <c r="G27" s="256" t="s">
        <v>222</v>
      </c>
      <c r="H27" s="256" t="s">
        <v>222</v>
      </c>
      <c r="I27" s="256" t="s">
        <v>222</v>
      </c>
      <c r="J27" s="256" t="s">
        <v>222</v>
      </c>
      <c r="K27" s="256" t="s">
        <v>222</v>
      </c>
      <c r="L27" s="256" t="s">
        <v>222</v>
      </c>
      <c r="M27" s="256" t="s">
        <v>222</v>
      </c>
      <c r="N27" s="256" t="s">
        <v>222</v>
      </c>
      <c r="O27" s="256" t="s">
        <v>222</v>
      </c>
      <c r="P27" s="256" t="s">
        <v>222</v>
      </c>
      <c r="Q27" s="256" t="s">
        <v>222</v>
      </c>
      <c r="R27" s="178"/>
      <c r="T27" s="522" t="s">
        <v>231</v>
      </c>
      <c r="U27" s="523"/>
      <c r="V27" s="523"/>
      <c r="W27" s="523"/>
      <c r="X27" s="523"/>
      <c r="Y27" s="523"/>
      <c r="Z27" s="523"/>
      <c r="AA27" s="523"/>
      <c r="AB27" s="523"/>
      <c r="AC27" s="523"/>
      <c r="AD27" s="524"/>
    </row>
    <row r="28" spans="1:31" s="73" customFormat="1" ht="12.75" customHeight="1" x14ac:dyDescent="0.25">
      <c r="A28" s="257"/>
      <c r="B28" s="258">
        <v>2008</v>
      </c>
      <c r="C28" s="258">
        <v>2009</v>
      </c>
      <c r="D28" s="258">
        <v>2010</v>
      </c>
      <c r="E28" s="258">
        <v>2011</v>
      </c>
      <c r="F28" s="258">
        <v>2012</v>
      </c>
      <c r="G28" s="258">
        <v>2013</v>
      </c>
      <c r="H28" s="258">
        <v>2014</v>
      </c>
      <c r="I28" s="258">
        <v>2015</v>
      </c>
      <c r="J28" s="258">
        <v>2016</v>
      </c>
      <c r="K28" s="258">
        <v>2017</v>
      </c>
      <c r="L28" s="258">
        <v>2018</v>
      </c>
      <c r="M28" s="258">
        <v>2019</v>
      </c>
      <c r="N28" s="259">
        <v>2030</v>
      </c>
      <c r="O28" s="259">
        <v>2040</v>
      </c>
      <c r="P28" s="259">
        <v>2050</v>
      </c>
      <c r="Q28" s="259" t="s">
        <v>199</v>
      </c>
      <c r="R28" s="260"/>
      <c r="T28" s="525"/>
      <c r="U28" s="526"/>
      <c r="V28" s="526"/>
      <c r="W28" s="526"/>
      <c r="X28" s="526"/>
      <c r="Y28" s="526"/>
      <c r="Z28" s="526"/>
      <c r="AA28" s="526"/>
      <c r="AB28" s="526"/>
      <c r="AC28" s="526"/>
      <c r="AD28" s="527"/>
    </row>
    <row r="29" spans="1:31" s="176" customFormat="1" ht="12.75" customHeight="1" x14ac:dyDescent="0.35">
      <c r="A29" s="92" t="s">
        <v>213</v>
      </c>
      <c r="B29" s="264">
        <v>22.450871794871802</v>
      </c>
      <c r="C29" s="264">
        <v>13.151230158730142</v>
      </c>
      <c r="D29" s="264">
        <v>14.335669291338593</v>
      </c>
      <c r="E29" s="264">
        <v>12.940748031496073</v>
      </c>
      <c r="F29" s="264">
        <v>7.3826294820717138</v>
      </c>
      <c r="G29" s="264">
        <v>4.4698000000000029</v>
      </c>
      <c r="H29" s="264">
        <v>5.9490118577075126</v>
      </c>
      <c r="I29" s="264">
        <v>7.6819367588932801</v>
      </c>
      <c r="J29" s="264">
        <v>5.3497665369649781</v>
      </c>
      <c r="K29" s="264">
        <v>5.8285490196078449</v>
      </c>
      <c r="L29" s="264">
        <v>15.820316205533592</v>
      </c>
      <c r="M29" s="264">
        <v>24.839328063241091</v>
      </c>
      <c r="N29" s="264">
        <v>30</v>
      </c>
      <c r="O29" s="264">
        <v>30</v>
      </c>
      <c r="P29" s="264">
        <v>30</v>
      </c>
      <c r="Q29" s="264">
        <v>30</v>
      </c>
      <c r="R29" s="265"/>
      <c r="T29" s="525"/>
      <c r="U29" s="526"/>
      <c r="V29" s="526"/>
      <c r="W29" s="526"/>
      <c r="X29" s="526"/>
      <c r="Y29" s="526"/>
      <c r="Z29" s="526"/>
      <c r="AA29" s="526"/>
      <c r="AB29" s="526"/>
      <c r="AC29" s="526"/>
      <c r="AD29" s="527"/>
    </row>
    <row r="30" spans="1:31" s="176" customFormat="1" ht="12.75" customHeight="1" x14ac:dyDescent="0.35">
      <c r="A30" s="93" t="s">
        <v>49</v>
      </c>
      <c r="B30" s="284">
        <f>B29+B38</f>
        <v>22.450871794871802</v>
      </c>
      <c r="C30" s="284">
        <f t="shared" ref="C30:Q30" si="10">C29+C38</f>
        <v>13.151230158730142</v>
      </c>
      <c r="D30" s="284">
        <f t="shared" si="10"/>
        <v>14.335669291338593</v>
      </c>
      <c r="E30" s="284">
        <f t="shared" si="10"/>
        <v>12.940748031496073</v>
      </c>
      <c r="F30" s="284">
        <f t="shared" si="10"/>
        <v>7.3826294820717138</v>
      </c>
      <c r="G30" s="284">
        <f t="shared" si="10"/>
        <v>10.129800000000003</v>
      </c>
      <c r="H30" s="284">
        <f t="shared" si="10"/>
        <v>16.889011857707512</v>
      </c>
      <c r="I30" s="284">
        <f t="shared" si="10"/>
        <v>28.39193675889328</v>
      </c>
      <c r="J30" s="284">
        <f t="shared" si="10"/>
        <v>25.959766536964977</v>
      </c>
      <c r="K30" s="284">
        <f t="shared" si="10"/>
        <v>26.438549019607844</v>
      </c>
      <c r="L30" s="284">
        <f t="shared" si="10"/>
        <v>36.430316205533593</v>
      </c>
      <c r="M30" s="284">
        <f t="shared" si="10"/>
        <v>45.44932806324109</v>
      </c>
      <c r="N30" s="284">
        <f t="shared" si="10"/>
        <v>30</v>
      </c>
      <c r="O30" s="284">
        <f t="shared" si="10"/>
        <v>30</v>
      </c>
      <c r="P30" s="284">
        <f t="shared" si="10"/>
        <v>30</v>
      </c>
      <c r="Q30" s="284">
        <f t="shared" si="10"/>
        <v>30</v>
      </c>
      <c r="R30" s="249"/>
      <c r="T30" s="525"/>
      <c r="U30" s="526"/>
      <c r="V30" s="526"/>
      <c r="W30" s="526"/>
      <c r="X30" s="526"/>
      <c r="Y30" s="526"/>
      <c r="Z30" s="526"/>
      <c r="AA30" s="526"/>
      <c r="AB30" s="526"/>
      <c r="AC30" s="526"/>
      <c r="AD30" s="527"/>
    </row>
    <row r="31" spans="1:31" s="176" customFormat="1" ht="12.75" customHeight="1" x14ac:dyDescent="0.35">
      <c r="A31" s="93"/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49"/>
      <c r="T31" s="525"/>
      <c r="U31" s="526"/>
      <c r="V31" s="526"/>
      <c r="W31" s="526"/>
      <c r="X31" s="526"/>
      <c r="Y31" s="526"/>
      <c r="Z31" s="526"/>
      <c r="AA31" s="526"/>
      <c r="AB31" s="526"/>
      <c r="AC31" s="526"/>
      <c r="AD31" s="527"/>
    </row>
    <row r="32" spans="1:31" s="176" customFormat="1" ht="12.75" customHeight="1" x14ac:dyDescent="0.35">
      <c r="A32" s="93"/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49"/>
      <c r="T32" s="525"/>
      <c r="U32" s="526"/>
      <c r="V32" s="526"/>
      <c r="W32" s="526"/>
      <c r="X32" s="526"/>
      <c r="Y32" s="526"/>
      <c r="Z32" s="526"/>
      <c r="AA32" s="526"/>
      <c r="AB32" s="526"/>
      <c r="AC32" s="526"/>
      <c r="AD32" s="527"/>
    </row>
    <row r="33" spans="1:30" s="176" customFormat="1" ht="12" customHeight="1" x14ac:dyDescent="0.35">
      <c r="A33" s="93"/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49"/>
      <c r="T33" s="525"/>
      <c r="U33" s="526"/>
      <c r="V33" s="526"/>
      <c r="W33" s="526"/>
      <c r="X33" s="526"/>
      <c r="Y33" s="526"/>
      <c r="Z33" s="526"/>
      <c r="AA33" s="526"/>
      <c r="AB33" s="526"/>
      <c r="AC33" s="526"/>
      <c r="AD33" s="527"/>
    </row>
    <row r="34" spans="1:30" s="176" customFormat="1" ht="12.75" customHeight="1" x14ac:dyDescent="0.35">
      <c r="A34" s="93"/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49"/>
      <c r="T34" s="525"/>
      <c r="U34" s="526"/>
      <c r="V34" s="526"/>
      <c r="W34" s="526"/>
      <c r="X34" s="526"/>
      <c r="Y34" s="526"/>
      <c r="Z34" s="526"/>
      <c r="AA34" s="526"/>
      <c r="AB34" s="526"/>
      <c r="AC34" s="526"/>
      <c r="AD34" s="527"/>
    </row>
    <row r="35" spans="1:30" s="176" customFormat="1" ht="12.75" customHeight="1" x14ac:dyDescent="0.35">
      <c r="A35" s="93"/>
      <c r="B35" s="284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49"/>
      <c r="T35" s="525"/>
      <c r="U35" s="526"/>
      <c r="V35" s="526"/>
      <c r="W35" s="526"/>
      <c r="X35" s="526"/>
      <c r="Y35" s="526"/>
      <c r="Z35" s="526"/>
      <c r="AA35" s="526"/>
      <c r="AB35" s="526"/>
      <c r="AC35" s="526"/>
      <c r="AD35" s="527"/>
    </row>
    <row r="36" spans="1:30" ht="12.75" customHeight="1" x14ac:dyDescent="0.35">
      <c r="A36" s="173"/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250"/>
      <c r="T36" s="525"/>
      <c r="U36" s="526"/>
      <c r="V36" s="526"/>
      <c r="W36" s="526"/>
      <c r="X36" s="526"/>
      <c r="Y36" s="526"/>
      <c r="Z36" s="526"/>
      <c r="AA36" s="526"/>
      <c r="AB36" s="526"/>
      <c r="AC36" s="526"/>
      <c r="AD36" s="527"/>
    </row>
    <row r="37" spans="1:30" ht="12.75" customHeight="1" x14ac:dyDescent="0.35">
      <c r="A37" s="175" t="s">
        <v>120</v>
      </c>
      <c r="T37" s="525"/>
      <c r="U37" s="526"/>
      <c r="V37" s="526"/>
      <c r="W37" s="526"/>
      <c r="X37" s="526"/>
      <c r="Y37" s="526"/>
      <c r="Z37" s="526"/>
      <c r="AA37" s="526"/>
      <c r="AB37" s="526"/>
      <c r="AC37" s="526"/>
      <c r="AD37" s="527"/>
    </row>
    <row r="38" spans="1:30" ht="12.75" customHeight="1" x14ac:dyDescent="0.35">
      <c r="A38" s="261" t="s">
        <v>230</v>
      </c>
      <c r="B38" s="262"/>
      <c r="C38" s="262"/>
      <c r="D38" s="262"/>
      <c r="E38" s="262"/>
      <c r="F38" s="262"/>
      <c r="G38" s="266">
        <v>5.66</v>
      </c>
      <c r="H38" s="266">
        <v>10.94</v>
      </c>
      <c r="I38" s="266">
        <v>20.71</v>
      </c>
      <c r="J38" s="266">
        <v>20.61</v>
      </c>
      <c r="K38" s="266">
        <v>20.61</v>
      </c>
      <c r="L38" s="266">
        <v>20.61</v>
      </c>
      <c r="M38" s="266">
        <v>20.61</v>
      </c>
      <c r="N38" s="266">
        <v>0</v>
      </c>
      <c r="O38" s="266">
        <v>0</v>
      </c>
      <c r="P38" s="266">
        <v>0</v>
      </c>
      <c r="Q38" s="266">
        <v>0</v>
      </c>
      <c r="R38" s="263"/>
      <c r="T38" s="528"/>
      <c r="U38" s="529"/>
      <c r="V38" s="529"/>
      <c r="W38" s="529"/>
      <c r="X38" s="529"/>
      <c r="Y38" s="529"/>
      <c r="Z38" s="529"/>
      <c r="AA38" s="529"/>
      <c r="AB38" s="529"/>
      <c r="AC38" s="529"/>
      <c r="AD38" s="530"/>
    </row>
    <row r="39" spans="1:30" ht="12.75" customHeight="1" x14ac:dyDescent="0.35"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</row>
    <row r="40" spans="1:30" ht="23.25" customHeight="1" x14ac:dyDescent="0.35"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</row>
    <row r="43" spans="1:30" ht="12.75" customHeight="1" x14ac:dyDescent="0.35">
      <c r="A43" s="282" t="s">
        <v>297</v>
      </c>
      <c r="B43" s="28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3"/>
      <c r="O43" s="283"/>
      <c r="P43" s="283"/>
      <c r="Q43" s="283"/>
      <c r="R43" s="281"/>
      <c r="T43" s="296"/>
      <c r="U43" s="296" t="s">
        <v>255</v>
      </c>
    </row>
    <row r="44" spans="1:30" ht="12.75" customHeight="1" x14ac:dyDescent="0.35">
      <c r="A44" s="177"/>
      <c r="B44" s="256" t="s">
        <v>222</v>
      </c>
      <c r="C44" s="256" t="s">
        <v>222</v>
      </c>
      <c r="D44" s="256" t="s">
        <v>222</v>
      </c>
      <c r="E44" s="256" t="s">
        <v>222</v>
      </c>
      <c r="F44" s="256" t="s">
        <v>222</v>
      </c>
      <c r="G44" s="256" t="s">
        <v>222</v>
      </c>
      <c r="H44" s="256" t="s">
        <v>222</v>
      </c>
      <c r="I44" s="256" t="s">
        <v>222</v>
      </c>
      <c r="J44" s="256" t="s">
        <v>222</v>
      </c>
      <c r="K44" s="256" t="s">
        <v>222</v>
      </c>
      <c r="L44" s="256" t="s">
        <v>222</v>
      </c>
      <c r="M44" s="256" t="s">
        <v>222</v>
      </c>
      <c r="N44" s="256" t="s">
        <v>222</v>
      </c>
      <c r="O44" s="256" t="s">
        <v>222</v>
      </c>
      <c r="P44" s="256" t="s">
        <v>222</v>
      </c>
      <c r="Q44" s="256" t="s">
        <v>222</v>
      </c>
      <c r="R44" s="481" t="s">
        <v>222</v>
      </c>
      <c r="T44" s="296" t="s">
        <v>254</v>
      </c>
      <c r="U44" s="296" t="s">
        <v>256</v>
      </c>
    </row>
    <row r="45" spans="1:30" ht="12.75" customHeight="1" x14ac:dyDescent="0.35">
      <c r="A45" s="257"/>
      <c r="B45" s="258">
        <v>2008</v>
      </c>
      <c r="C45" s="258">
        <v>2009</v>
      </c>
      <c r="D45" s="258">
        <v>2010</v>
      </c>
      <c r="E45" s="258">
        <v>2011</v>
      </c>
      <c r="F45" s="258">
        <v>2012</v>
      </c>
      <c r="G45" s="258">
        <v>2013</v>
      </c>
      <c r="H45" s="258">
        <v>2014</v>
      </c>
      <c r="I45" s="258">
        <v>2015</v>
      </c>
      <c r="J45" s="258">
        <v>2016</v>
      </c>
      <c r="K45" s="258">
        <v>2017</v>
      </c>
      <c r="L45" s="258">
        <v>2018</v>
      </c>
      <c r="M45" s="258">
        <v>2019</v>
      </c>
      <c r="N45" s="259">
        <v>2030</v>
      </c>
      <c r="O45" s="259">
        <v>2040</v>
      </c>
      <c r="P45" s="259">
        <v>2050</v>
      </c>
      <c r="Q45" s="259" t="s">
        <v>199</v>
      </c>
      <c r="R45" s="482">
        <v>1990</v>
      </c>
      <c r="T45" s="296">
        <v>1990</v>
      </c>
      <c r="U45" s="296">
        <v>2030</v>
      </c>
    </row>
    <row r="46" spans="1:30" ht="12.75" customHeight="1" x14ac:dyDescent="0.35">
      <c r="A46" s="92" t="s">
        <v>74</v>
      </c>
      <c r="B46" s="284">
        <v>10.662191803241702</v>
      </c>
      <c r="C46" s="284">
        <v>9.6100748647860588</v>
      </c>
      <c r="D46" s="284">
        <v>10.875043924821645</v>
      </c>
      <c r="E46" s="284">
        <v>10.491696302809753</v>
      </c>
      <c r="F46" s="284">
        <v>8.9802535228182379</v>
      </c>
      <c r="G46" s="284">
        <v>7.9816817848086856</v>
      </c>
      <c r="H46" s="284">
        <v>6.4549900027933118</v>
      </c>
      <c r="I46" s="284">
        <v>7.477285303346032</v>
      </c>
      <c r="J46" s="284">
        <v>7.2670001784532303</v>
      </c>
      <c r="K46" s="284">
        <v>7.9625336767752533</v>
      </c>
      <c r="L46" s="284">
        <v>7.0255549506252404</v>
      </c>
      <c r="M46" s="294">
        <f>AVERAGE(J46:L46)</f>
        <v>7.4183629352845744</v>
      </c>
      <c r="N46" s="294">
        <f>M46- M46/(2050-M$45)*(N$45-M$45)</f>
        <v>4.7860406034094023</v>
      </c>
      <c r="O46" s="294">
        <f t="shared" ref="O46:O58" si="11">N46- N46/(2050-N$45)*(O$45-N$45)</f>
        <v>2.3930203017047011</v>
      </c>
      <c r="P46" s="294">
        <v>0</v>
      </c>
      <c r="Q46" s="294">
        <f>P46</f>
        <v>0</v>
      </c>
      <c r="R46" s="483">
        <v>11.124904964793137</v>
      </c>
      <c r="T46" s="297">
        <v>11.124904964793137</v>
      </c>
      <c r="U46" s="298">
        <f>N46/T46</f>
        <v>0.43020957199686038</v>
      </c>
    </row>
    <row r="47" spans="1:30" ht="12.75" customHeight="1" x14ac:dyDescent="0.35">
      <c r="A47" s="93" t="s">
        <v>45</v>
      </c>
      <c r="B47" s="284">
        <v>20.541694105715866</v>
      </c>
      <c r="C47" s="284">
        <v>20.894991465999549</v>
      </c>
      <c r="D47" s="284">
        <v>21.500713370424787</v>
      </c>
      <c r="E47" s="284">
        <v>18.539591162452414</v>
      </c>
      <c r="F47" s="284">
        <v>18.099950257583014</v>
      </c>
      <c r="G47" s="284">
        <v>16.753549867839208</v>
      </c>
      <c r="H47" s="284">
        <v>15.452607339972896</v>
      </c>
      <c r="I47" s="284">
        <v>16.31073816973737</v>
      </c>
      <c r="J47" s="284">
        <v>15.087805047553521</v>
      </c>
      <c r="K47" s="284">
        <v>15.136304932848033</v>
      </c>
      <c r="L47" s="284">
        <v>15.292459464880396</v>
      </c>
      <c r="M47" s="295">
        <f t="shared" ref="M47:M58" si="12">AVERAGE(J47:L47)</f>
        <v>15.172189815093985</v>
      </c>
      <c r="N47" s="295">
        <f t="shared" ref="N47:N58" si="13">M47- M47/(2050-M$45)*(N$45-M$45)</f>
        <v>9.7885095581251527</v>
      </c>
      <c r="O47" s="295">
        <f t="shared" si="11"/>
        <v>4.8942547790625763</v>
      </c>
      <c r="P47" s="295">
        <v>0</v>
      </c>
      <c r="Q47" s="295">
        <f t="shared" ref="Q47:Q58" si="14">P47</f>
        <v>0</v>
      </c>
      <c r="R47" s="484">
        <v>23.600563505062819</v>
      </c>
      <c r="T47" s="309">
        <v>23.600563505062819</v>
      </c>
      <c r="U47" s="299">
        <f t="shared" ref="U47:U58" si="15">N47/T47</f>
        <v>0.41475745085600652</v>
      </c>
    </row>
    <row r="48" spans="1:30" ht="12.75" customHeight="1" x14ac:dyDescent="0.35">
      <c r="A48" s="93" t="s">
        <v>76</v>
      </c>
      <c r="B48" s="284">
        <v>54.464770339535299</v>
      </c>
      <c r="C48" s="284">
        <v>51.030131111577525</v>
      </c>
      <c r="D48" s="284">
        <v>54.572004790353432</v>
      </c>
      <c r="E48" s="284">
        <v>54.224841531570291</v>
      </c>
      <c r="F48" s="284">
        <v>51.523677817592599</v>
      </c>
      <c r="G48" s="284">
        <v>48.521611166998518</v>
      </c>
      <c r="H48" s="284">
        <v>46.897460543615317</v>
      </c>
      <c r="I48" s="284">
        <v>46.941672406096146</v>
      </c>
      <c r="J48" s="284">
        <v>47.664232796868525</v>
      </c>
      <c r="K48" s="284">
        <v>45.322352974751922</v>
      </c>
      <c r="L48" s="284">
        <v>44.775583876774164</v>
      </c>
      <c r="M48" s="295">
        <f t="shared" si="12"/>
        <v>45.920723216131535</v>
      </c>
      <c r="N48" s="295">
        <f t="shared" si="13"/>
        <v>29.626273042665506</v>
      </c>
      <c r="O48" s="295">
        <f t="shared" si="11"/>
        <v>14.813136521332753</v>
      </c>
      <c r="P48" s="295">
        <v>0</v>
      </c>
      <c r="Q48" s="295">
        <f t="shared" si="14"/>
        <v>0</v>
      </c>
      <c r="R48" s="484">
        <v>54.842245897810528</v>
      </c>
      <c r="T48" s="309">
        <v>54.842245897810528</v>
      </c>
      <c r="U48" s="299">
        <f t="shared" si="15"/>
        <v>0.54020896769744209</v>
      </c>
    </row>
    <row r="49" spans="1:21" ht="12.75" customHeight="1" x14ac:dyDescent="0.35">
      <c r="A49" s="93" t="s">
        <v>139</v>
      </c>
      <c r="B49" s="284">
        <v>22.0029809431432</v>
      </c>
      <c r="C49" s="284">
        <v>21.972550614204085</v>
      </c>
      <c r="D49" s="284">
        <v>21.941864066985225</v>
      </c>
      <c r="E49" s="284">
        <v>17.979213541247869</v>
      </c>
      <c r="F49" s="284">
        <v>14.722023105688301</v>
      </c>
      <c r="G49" s="284">
        <v>16.969475412017232</v>
      </c>
      <c r="H49" s="284">
        <v>13.47242197520848</v>
      </c>
      <c r="I49" s="284">
        <v>10.667300981556712</v>
      </c>
      <c r="J49" s="284">
        <v>12.063986516512585</v>
      </c>
      <c r="K49" s="284">
        <v>9.4745575932600374</v>
      </c>
      <c r="L49" s="284">
        <v>9.5344759921553646</v>
      </c>
      <c r="M49" s="295">
        <f t="shared" si="12"/>
        <v>10.35767336730933</v>
      </c>
      <c r="N49" s="295">
        <f t="shared" si="13"/>
        <v>6.6823699143931155</v>
      </c>
      <c r="O49" s="295">
        <f t="shared" si="11"/>
        <v>3.3411849571965577</v>
      </c>
      <c r="P49" s="295">
        <v>0</v>
      </c>
      <c r="Q49" s="295">
        <f t="shared" si="14"/>
        <v>0</v>
      </c>
      <c r="R49" s="484">
        <v>25.071260046956237</v>
      </c>
      <c r="T49" s="309">
        <v>25.071260046956237</v>
      </c>
      <c r="U49" s="299">
        <f t="shared" si="15"/>
        <v>0.26653506452717701</v>
      </c>
    </row>
    <row r="50" spans="1:21" ht="12.75" customHeight="1" x14ac:dyDescent="0.35">
      <c r="A50" s="93" t="s">
        <v>46</v>
      </c>
      <c r="B50" s="284">
        <v>45.431025362658531</v>
      </c>
      <c r="C50" s="284">
        <v>44.528215525046633</v>
      </c>
      <c r="D50" s="284">
        <v>46.456287631676076</v>
      </c>
      <c r="E50" s="284">
        <v>38.44555793945969</v>
      </c>
      <c r="F50" s="284">
        <v>41.635901442566443</v>
      </c>
      <c r="G50" s="284">
        <v>42.148226744775215</v>
      </c>
      <c r="H50" s="284">
        <v>29.501299472219589</v>
      </c>
      <c r="I50" s="284">
        <v>32.096103772295677</v>
      </c>
      <c r="J50" s="284">
        <v>35.728886710786512</v>
      </c>
      <c r="K50" s="284">
        <v>40.4296146586086</v>
      </c>
      <c r="L50" s="284">
        <v>32.972386558281485</v>
      </c>
      <c r="M50" s="295">
        <f t="shared" si="12"/>
        <v>36.376962642558865</v>
      </c>
      <c r="N50" s="295">
        <f t="shared" si="13"/>
        <v>23.46900815648959</v>
      </c>
      <c r="O50" s="295">
        <f t="shared" si="11"/>
        <v>11.734504078244797</v>
      </c>
      <c r="P50" s="295">
        <v>0</v>
      </c>
      <c r="Q50" s="295">
        <f t="shared" si="14"/>
        <v>0</v>
      </c>
      <c r="R50" s="484">
        <v>49.698184771037447</v>
      </c>
      <c r="T50" s="309">
        <v>49.698184771037447</v>
      </c>
      <c r="U50" s="299">
        <f t="shared" si="15"/>
        <v>0.47223069141484209</v>
      </c>
    </row>
    <row r="51" spans="1:21" ht="12.75" customHeight="1" x14ac:dyDescent="0.35">
      <c r="A51" s="93" t="s">
        <v>16</v>
      </c>
      <c r="B51" s="284">
        <v>329.97480233992002</v>
      </c>
      <c r="C51" s="284">
        <v>307.86519396504997</v>
      </c>
      <c r="D51" s="284">
        <v>318.36597442935999</v>
      </c>
      <c r="E51" s="284">
        <v>316.24010872748005</v>
      </c>
      <c r="F51" s="284">
        <v>333.17505550570002</v>
      </c>
      <c r="G51" s="284">
        <v>336.59928785350007</v>
      </c>
      <c r="H51" s="284">
        <v>318.59412097367999</v>
      </c>
      <c r="I51" s="284">
        <v>306.75553397547998</v>
      </c>
      <c r="J51" s="284">
        <v>302.70092182823998</v>
      </c>
      <c r="K51" s="284">
        <v>281.30547084350002</v>
      </c>
      <c r="L51" s="284">
        <v>266.22492205227002</v>
      </c>
      <c r="M51" s="295">
        <f t="shared" si="12"/>
        <v>283.41043824133669</v>
      </c>
      <c r="N51" s="295">
        <f t="shared" si="13"/>
        <v>182.84544402666882</v>
      </c>
      <c r="O51" s="295">
        <f t="shared" si="11"/>
        <v>91.422722013334408</v>
      </c>
      <c r="P51" s="295">
        <v>0</v>
      </c>
      <c r="Q51" s="295">
        <f t="shared" si="14"/>
        <v>0</v>
      </c>
      <c r="R51" s="484">
        <v>341.03078638967997</v>
      </c>
      <c r="T51" s="309">
        <v>341.03078638967997</v>
      </c>
      <c r="U51" s="299">
        <f t="shared" si="15"/>
        <v>0.53615524264645087</v>
      </c>
    </row>
    <row r="52" spans="1:21" ht="12.75" customHeight="1" x14ac:dyDescent="0.35">
      <c r="A52" s="93" t="s">
        <v>79</v>
      </c>
      <c r="B52" s="284">
        <v>54.071711378783675</v>
      </c>
      <c r="C52" s="284">
        <v>50.861018765784884</v>
      </c>
      <c r="D52" s="284">
        <v>48.487017387849086</v>
      </c>
      <c r="E52" s="284">
        <v>50.631237440518703</v>
      </c>
      <c r="F52" s="284">
        <v>51.076405746374419</v>
      </c>
      <c r="G52" s="284">
        <v>44.254417861148269</v>
      </c>
      <c r="H52" s="284">
        <v>40.591095703477343</v>
      </c>
      <c r="I52" s="284">
        <v>35.620608825883863</v>
      </c>
      <c r="J52" s="284">
        <v>31.414823827716344</v>
      </c>
      <c r="K52" s="284">
        <v>34.991876731457609</v>
      </c>
      <c r="L52" s="284">
        <v>33.284464680609275</v>
      </c>
      <c r="M52" s="295">
        <f t="shared" si="12"/>
        <v>33.230388413261075</v>
      </c>
      <c r="N52" s="295">
        <f t="shared" si="13"/>
        <v>21.43896026662005</v>
      </c>
      <c r="O52" s="295">
        <f t="shared" si="11"/>
        <v>10.719480133310025</v>
      </c>
      <c r="P52" s="295">
        <v>0</v>
      </c>
      <c r="Q52" s="295">
        <f t="shared" si="14"/>
        <v>0</v>
      </c>
      <c r="R52" s="484">
        <v>40.770795480480288</v>
      </c>
      <c r="T52" s="309">
        <v>40.770795480480288</v>
      </c>
      <c r="U52" s="299">
        <f t="shared" si="15"/>
        <v>0.52584110792943239</v>
      </c>
    </row>
    <row r="53" spans="1:21" ht="12.75" customHeight="1" x14ac:dyDescent="0.35">
      <c r="A53" s="93" t="s">
        <v>44</v>
      </c>
      <c r="B53" s="284">
        <v>52.4023376437856</v>
      </c>
      <c r="C53" s="284">
        <v>52.651650030012533</v>
      </c>
      <c r="D53" s="284">
        <v>54.710495261589735</v>
      </c>
      <c r="E53" s="284">
        <v>50.592971396968188</v>
      </c>
      <c r="F53" s="284">
        <v>47.633364136509329</v>
      </c>
      <c r="G53" s="284">
        <v>47.970716489555599</v>
      </c>
      <c r="H53" s="284">
        <v>51.644671763974117</v>
      </c>
      <c r="I53" s="284">
        <v>56.367138049249533</v>
      </c>
      <c r="J53" s="284">
        <v>55.374789588358034</v>
      </c>
      <c r="K53" s="284">
        <v>51.735850918201145</v>
      </c>
      <c r="L53" s="284">
        <v>47.986540659325421</v>
      </c>
      <c r="M53" s="295">
        <f t="shared" si="12"/>
        <v>51.699060388628197</v>
      </c>
      <c r="N53" s="295">
        <f t="shared" si="13"/>
        <v>33.354232508792386</v>
      </c>
      <c r="O53" s="295">
        <f t="shared" si="11"/>
        <v>16.677116254396193</v>
      </c>
      <c r="P53" s="295">
        <v>0</v>
      </c>
      <c r="Q53" s="295">
        <f t="shared" si="14"/>
        <v>0</v>
      </c>
      <c r="R53" s="484">
        <v>40.198783003327641</v>
      </c>
      <c r="T53" s="309">
        <v>40.198783003327641</v>
      </c>
      <c r="U53" s="299">
        <f t="shared" si="15"/>
        <v>0.82973239528249731</v>
      </c>
    </row>
    <row r="54" spans="1:21" ht="12.75" customHeight="1" x14ac:dyDescent="0.35">
      <c r="A54" s="93" t="s">
        <v>47</v>
      </c>
      <c r="B54" s="284">
        <v>0.81282639227875553</v>
      </c>
      <c r="C54" s="284">
        <v>2.0562851583483903</v>
      </c>
      <c r="D54" s="284">
        <v>2.4402232969376585</v>
      </c>
      <c r="E54" s="284">
        <v>2.2231537760733646</v>
      </c>
      <c r="F54" s="284">
        <v>1.7218761053424623</v>
      </c>
      <c r="G54" s="284">
        <v>1.724520925168318</v>
      </c>
      <c r="H54" s="284">
        <v>1.7239705192746195</v>
      </c>
      <c r="I54" s="284">
        <v>1.7243302285229754</v>
      </c>
      <c r="J54" s="284">
        <v>1.6986810451849361</v>
      </c>
      <c r="K54" s="284">
        <v>1.8322535274635003</v>
      </c>
      <c r="L54" s="284">
        <v>1.7816100743380183</v>
      </c>
      <c r="M54" s="295">
        <f t="shared" si="12"/>
        <v>1.7708482156621514</v>
      </c>
      <c r="N54" s="295">
        <f t="shared" si="13"/>
        <v>1.1424827197820333</v>
      </c>
      <c r="O54" s="295">
        <f t="shared" si="11"/>
        <v>0.57124135989101665</v>
      </c>
      <c r="P54" s="295">
        <v>0</v>
      </c>
      <c r="Q54" s="295">
        <f t="shared" si="14"/>
        <v>0</v>
      </c>
      <c r="R54" s="484">
        <v>0.41826957947458338</v>
      </c>
      <c r="T54" s="309">
        <v>0.41826957947458338</v>
      </c>
      <c r="U54" s="299">
        <f t="shared" si="15"/>
        <v>2.7314506620758383</v>
      </c>
    </row>
    <row r="55" spans="1:21" ht="12.75" customHeight="1" x14ac:dyDescent="0.35">
      <c r="A55" s="93" t="s">
        <v>43</v>
      </c>
      <c r="B55" s="284">
        <v>166.21695319903623</v>
      </c>
      <c r="C55" s="284">
        <v>160.05864139022935</v>
      </c>
      <c r="D55" s="284">
        <v>165.89793876598802</v>
      </c>
      <c r="E55" s="284">
        <v>166.84158662791202</v>
      </c>
      <c r="F55" s="284">
        <v>162.13733347401526</v>
      </c>
      <c r="G55" s="284">
        <v>163.40732975177039</v>
      </c>
      <c r="H55" s="284">
        <v>154.25571382763272</v>
      </c>
      <c r="I55" s="284">
        <v>155.79892336131871</v>
      </c>
      <c r="J55" s="284">
        <v>155.94713807218463</v>
      </c>
      <c r="K55" s="284">
        <v>157.65525847576248</v>
      </c>
      <c r="L55" s="284">
        <v>155.85937239697645</v>
      </c>
      <c r="M55" s="295">
        <f t="shared" si="12"/>
        <v>156.48725631497453</v>
      </c>
      <c r="N55" s="295">
        <f t="shared" si="13"/>
        <v>100.95952020320937</v>
      </c>
      <c r="O55" s="295">
        <f t="shared" si="11"/>
        <v>50.479760101604683</v>
      </c>
      <c r="P55" s="295">
        <v>0</v>
      </c>
      <c r="Q55" s="295">
        <f t="shared" si="14"/>
        <v>0</v>
      </c>
      <c r="R55" s="484">
        <v>249.15074356451424</v>
      </c>
      <c r="T55" s="309">
        <v>249.15074356451424</v>
      </c>
      <c r="U55" s="299">
        <f t="shared" si="15"/>
        <v>0.40521460525790987</v>
      </c>
    </row>
    <row r="56" spans="1:21" ht="12.75" customHeight="1" x14ac:dyDescent="0.35">
      <c r="A56" s="93" t="s">
        <v>26</v>
      </c>
      <c r="B56" s="284">
        <v>7.7244896165810317</v>
      </c>
      <c r="C56" s="284">
        <v>8.2554753960330025</v>
      </c>
      <c r="D56" s="284">
        <v>10.65500117904196</v>
      </c>
      <c r="E56" s="284">
        <v>8.374680508603582</v>
      </c>
      <c r="F56" s="284">
        <v>7.800838493673254</v>
      </c>
      <c r="G56" s="284">
        <v>7.605445196763883</v>
      </c>
      <c r="H56" s="284">
        <v>6.3964163541906567</v>
      </c>
      <c r="I56" s="284">
        <v>6.3739763385227155</v>
      </c>
      <c r="J56" s="284">
        <v>6.8642759186742719</v>
      </c>
      <c r="K56" s="284">
        <v>6.8877601109056306</v>
      </c>
      <c r="L56" s="284">
        <v>7.0038163306891486</v>
      </c>
      <c r="M56" s="295">
        <f t="shared" si="12"/>
        <v>6.9186174534230167</v>
      </c>
      <c r="N56" s="295">
        <f t="shared" si="13"/>
        <v>4.4636241634987206</v>
      </c>
      <c r="O56" s="295">
        <f t="shared" si="11"/>
        <v>2.2318120817493603</v>
      </c>
      <c r="P56" s="295">
        <v>0</v>
      </c>
      <c r="Q56" s="295">
        <f t="shared" si="14"/>
        <v>0</v>
      </c>
      <c r="R56" s="484">
        <v>7.8475211493124348</v>
      </c>
      <c r="T56" s="309">
        <v>7.8475211493124348</v>
      </c>
      <c r="U56" s="299">
        <f t="shared" si="15"/>
        <v>0.56879415532251276</v>
      </c>
    </row>
    <row r="57" spans="1:21" ht="12.75" customHeight="1" x14ac:dyDescent="0.35">
      <c r="A57" s="93" t="s">
        <v>72</v>
      </c>
      <c r="B57" s="284">
        <v>2.8505204489335729</v>
      </c>
      <c r="C57" s="284">
        <v>2.7481174442314429</v>
      </c>
      <c r="D57" s="284">
        <v>2.93766796273668</v>
      </c>
      <c r="E57" s="284">
        <v>2.7543452729590383</v>
      </c>
      <c r="F57" s="284">
        <v>2.889578006872553</v>
      </c>
      <c r="G57" s="284">
        <v>2.8473326469736282</v>
      </c>
      <c r="H57" s="284">
        <v>2.6892608375488001</v>
      </c>
      <c r="I57" s="284">
        <v>2.8567670688075695</v>
      </c>
      <c r="J57" s="284">
        <v>3.018413017112739</v>
      </c>
      <c r="K57" s="284">
        <v>2.9473546239375805</v>
      </c>
      <c r="L57" s="284">
        <v>2.9948937597516778</v>
      </c>
      <c r="M57" s="295">
        <f t="shared" si="12"/>
        <v>2.9868871336006659</v>
      </c>
      <c r="N57" s="295">
        <f t="shared" si="13"/>
        <v>1.9270239571617198</v>
      </c>
      <c r="O57" s="295">
        <f t="shared" si="11"/>
        <v>0.96351197858085991</v>
      </c>
      <c r="P57" s="295">
        <v>0</v>
      </c>
      <c r="Q57" s="295">
        <f t="shared" si="14"/>
        <v>0</v>
      </c>
      <c r="R57" s="484">
        <v>2.1527840271923657</v>
      </c>
      <c r="T57" s="309">
        <v>2.1527840271923657</v>
      </c>
      <c r="U57" s="299">
        <f t="shared" si="15"/>
        <v>0.89513111060886152</v>
      </c>
    </row>
    <row r="58" spans="1:21" ht="12.75" customHeight="1" thickBot="1" x14ac:dyDescent="0.4">
      <c r="A58" s="93" t="s">
        <v>49</v>
      </c>
      <c r="B58" s="284">
        <v>175.09550617478391</v>
      </c>
      <c r="C58" s="284">
        <v>153.27513002431394</v>
      </c>
      <c r="D58" s="284">
        <v>159.49914914683711</v>
      </c>
      <c r="E58" s="284">
        <v>146.81839358692972</v>
      </c>
      <c r="F58" s="284">
        <v>160.87457223245494</v>
      </c>
      <c r="G58" s="284">
        <v>150.03913196223971</v>
      </c>
      <c r="H58" s="284">
        <v>126.76274679062354</v>
      </c>
      <c r="I58" s="284">
        <v>106.41648222165834</v>
      </c>
      <c r="J58" s="284">
        <v>84.391309052975643</v>
      </c>
      <c r="K58" s="284">
        <v>74.457710014058705</v>
      </c>
      <c r="L58" s="284">
        <v>68.288530473510477</v>
      </c>
      <c r="M58" s="295">
        <f t="shared" si="12"/>
        <v>75.712516513514956</v>
      </c>
      <c r="N58" s="295">
        <f t="shared" si="13"/>
        <v>48.846784847429007</v>
      </c>
      <c r="O58" s="295">
        <f t="shared" si="11"/>
        <v>24.423392423714503</v>
      </c>
      <c r="P58" s="295">
        <v>0</v>
      </c>
      <c r="Q58" s="295">
        <f t="shared" si="14"/>
        <v>0</v>
      </c>
      <c r="R58" s="484">
        <v>205.40432684566906</v>
      </c>
      <c r="T58" s="300">
        <v>205.40432684566906</v>
      </c>
      <c r="U58" s="301">
        <f t="shared" si="15"/>
        <v>0.23780796440636878</v>
      </c>
    </row>
    <row r="59" spans="1:21" ht="12.75" customHeight="1" thickTop="1" x14ac:dyDescent="0.35">
      <c r="A59" s="93"/>
      <c r="B59" s="284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49"/>
      <c r="T59" s="117"/>
      <c r="U59" s="302">
        <f>SUM(N46:N58)/SUM(T46:T58)</f>
        <v>0.44642374941577428</v>
      </c>
    </row>
    <row r="60" spans="1:21" ht="12.75" customHeight="1" x14ac:dyDescent="0.35">
      <c r="A60" s="93"/>
      <c r="B60" s="284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49"/>
    </row>
    <row r="61" spans="1:21" ht="12.75" customHeight="1" x14ac:dyDescent="0.35">
      <c r="A61" s="93"/>
      <c r="B61" s="284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49"/>
    </row>
    <row r="62" spans="1:21" ht="12.75" customHeight="1" x14ac:dyDescent="0.35">
      <c r="A62" s="93"/>
      <c r="B62" s="284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49"/>
    </row>
    <row r="63" spans="1:21" ht="12.75" customHeight="1" x14ac:dyDescent="0.35">
      <c r="A63" s="173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250"/>
    </row>
    <row r="64" spans="1:21" ht="12.75" customHeight="1" x14ac:dyDescent="0.35">
      <c r="A64" s="175" t="s">
        <v>120</v>
      </c>
    </row>
  </sheetData>
  <mergeCells count="2">
    <mergeCell ref="T27:AD38"/>
    <mergeCell ref="W2:AD19"/>
  </mergeCells>
  <phoneticPr fontId="2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1"/>
  </sheetPr>
  <dimension ref="A1:O38"/>
  <sheetViews>
    <sheetView zoomScale="70" zoomScaleNormal="70" workbookViewId="0">
      <selection activeCell="G3" sqref="G3:G14"/>
    </sheetView>
  </sheetViews>
  <sheetFormatPr baseColWidth="10" defaultColWidth="11.26953125" defaultRowHeight="12.75" customHeight="1" x14ac:dyDescent="0.35"/>
  <cols>
    <col min="1" max="1" width="6.26953125" style="74" customWidth="1"/>
    <col min="2" max="2" width="7.26953125" style="74" customWidth="1"/>
    <col min="3" max="6" width="14.54296875" style="74" customWidth="1"/>
    <col min="7" max="7" width="13.54296875" style="74" customWidth="1"/>
    <col min="8" max="16384" width="11.26953125" style="74"/>
  </cols>
  <sheetData>
    <row r="1" spans="1:15" s="73" customFormat="1" ht="18.75" customHeight="1" x14ac:dyDescent="0.25">
      <c r="A1" s="254" t="s">
        <v>123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6"/>
      <c r="M1" s="144"/>
      <c r="N1" s="73" t="s">
        <v>132</v>
      </c>
      <c r="O1" s="73" t="s">
        <v>133</v>
      </c>
    </row>
    <row r="2" spans="1:15" ht="12.75" customHeight="1" x14ac:dyDescent="0.35">
      <c r="A2" s="254"/>
      <c r="B2" s="125"/>
      <c r="C2" s="140" t="s">
        <v>117</v>
      </c>
      <c r="D2" s="140" t="s">
        <v>126</v>
      </c>
      <c r="E2" s="140" t="s">
        <v>127</v>
      </c>
      <c r="F2" s="140" t="s">
        <v>118</v>
      </c>
      <c r="G2" s="140" t="s">
        <v>132</v>
      </c>
      <c r="H2" s="140" t="s">
        <v>134</v>
      </c>
      <c r="I2" s="140" t="s">
        <v>151</v>
      </c>
      <c r="J2" s="140"/>
      <c r="K2" s="140"/>
      <c r="L2" s="141"/>
      <c r="M2" s="532" t="s">
        <v>122</v>
      </c>
      <c r="N2" s="163">
        <f>SUM(N3:N14)</f>
        <v>70.599999999999994</v>
      </c>
      <c r="O2" s="163">
        <f>SUM(O3:O14)</f>
        <v>4840</v>
      </c>
    </row>
    <row r="3" spans="1:15" ht="12.75" customHeight="1" x14ac:dyDescent="0.35">
      <c r="A3" s="254" t="s">
        <v>12</v>
      </c>
      <c r="B3" s="253">
        <v>1</v>
      </c>
      <c r="C3" s="129">
        <v>0.8</v>
      </c>
      <c r="D3" s="150">
        <v>0.9</v>
      </c>
      <c r="E3" s="150">
        <f>D3-(D3-0.8)/2</f>
        <v>0.85000000000000009</v>
      </c>
      <c r="F3" s="150">
        <v>1.3</v>
      </c>
      <c r="G3" s="150">
        <f>N3/$N$2</f>
        <v>3.5410764872521247E-2</v>
      </c>
      <c r="H3" s="150">
        <f>O3/$O$2</f>
        <v>6.8181818181818177E-2</v>
      </c>
      <c r="I3" s="150">
        <f>1/12</f>
        <v>8.3333333333333329E-2</v>
      </c>
      <c r="J3" s="150"/>
      <c r="K3" s="150"/>
      <c r="L3" s="142"/>
      <c r="M3" s="532"/>
      <c r="N3" s="74">
        <v>2.5</v>
      </c>
      <c r="O3" s="74">
        <v>330</v>
      </c>
    </row>
    <row r="4" spans="1:15" ht="12.75" customHeight="1" x14ac:dyDescent="0.35">
      <c r="A4" s="254" t="s">
        <v>13</v>
      </c>
      <c r="B4" s="253">
        <v>2</v>
      </c>
      <c r="C4" s="129">
        <v>0.8</v>
      </c>
      <c r="D4" s="150">
        <v>0.9</v>
      </c>
      <c r="E4" s="150">
        <f t="shared" ref="E4:E14" si="0">D4-(D4-0.8)/2</f>
        <v>0.85000000000000009</v>
      </c>
      <c r="F4" s="150">
        <v>1.3</v>
      </c>
      <c r="G4" s="150">
        <f t="shared" ref="G4:G14" si="1">N4/$N$2</f>
        <v>2.6912181303116147E-2</v>
      </c>
      <c r="H4" s="150">
        <f t="shared" ref="H4:H14" si="2">O4/$O$2</f>
        <v>5.578512396694215E-2</v>
      </c>
      <c r="I4" s="150">
        <f>1/12</f>
        <v>8.3333333333333329E-2</v>
      </c>
      <c r="J4" s="150"/>
      <c r="K4" s="150"/>
      <c r="L4" s="142"/>
      <c r="M4" s="532"/>
      <c r="N4" s="74">
        <v>1.9</v>
      </c>
      <c r="O4" s="74">
        <v>270</v>
      </c>
    </row>
    <row r="5" spans="1:15" ht="12.75" customHeight="1" x14ac:dyDescent="0.35">
      <c r="A5" s="254" t="s">
        <v>14</v>
      </c>
      <c r="B5" s="253">
        <v>3</v>
      </c>
      <c r="C5" s="129">
        <v>0.8</v>
      </c>
      <c r="D5" s="150">
        <v>0.85</v>
      </c>
      <c r="E5" s="150">
        <f t="shared" si="0"/>
        <v>0.82499999999999996</v>
      </c>
      <c r="F5" s="150">
        <v>1.2</v>
      </c>
      <c r="G5" s="150">
        <f t="shared" si="1"/>
        <v>1.8413597733711051E-2</v>
      </c>
      <c r="H5" s="150">
        <f t="shared" si="2"/>
        <v>6.1983471074380167E-2</v>
      </c>
      <c r="I5" s="150">
        <f>1/12</f>
        <v>8.3333333333333329E-2</v>
      </c>
      <c r="J5" s="150"/>
      <c r="K5" s="150"/>
      <c r="L5" s="142"/>
      <c r="M5" s="532"/>
      <c r="N5" s="74">
        <v>1.3</v>
      </c>
      <c r="O5" s="74">
        <v>300</v>
      </c>
    </row>
    <row r="6" spans="1:15" ht="12.75" customHeight="1" x14ac:dyDescent="0.35">
      <c r="A6" s="254" t="s">
        <v>0</v>
      </c>
      <c r="B6" s="253">
        <v>4</v>
      </c>
      <c r="C6" s="129">
        <v>0.7</v>
      </c>
      <c r="D6" s="150">
        <v>0.8</v>
      </c>
      <c r="E6" s="150">
        <f t="shared" si="0"/>
        <v>0.8</v>
      </c>
      <c r="F6" s="150">
        <v>1</v>
      </c>
      <c r="G6" s="150">
        <f t="shared" si="1"/>
        <v>7.2237960339943341E-2</v>
      </c>
      <c r="H6" s="150">
        <f t="shared" si="2"/>
        <v>7.43801652892562E-2</v>
      </c>
      <c r="I6" s="150">
        <f t="shared" ref="I6:I14" si="3">1/12</f>
        <v>8.3333333333333329E-2</v>
      </c>
      <c r="J6" s="150"/>
      <c r="K6" s="150"/>
      <c r="L6" s="142"/>
      <c r="M6" s="532"/>
      <c r="N6" s="74">
        <v>5.0999999999999996</v>
      </c>
      <c r="O6" s="74">
        <v>360</v>
      </c>
    </row>
    <row r="7" spans="1:15" ht="12.75" customHeight="1" x14ac:dyDescent="0.35">
      <c r="A7" s="254" t="s">
        <v>6</v>
      </c>
      <c r="B7" s="253">
        <v>5</v>
      </c>
      <c r="C7" s="129">
        <v>0.7</v>
      </c>
      <c r="D7" s="150">
        <v>0.75</v>
      </c>
      <c r="E7" s="150">
        <f t="shared" si="0"/>
        <v>0.77500000000000002</v>
      </c>
      <c r="F7" s="150">
        <v>0.9</v>
      </c>
      <c r="G7" s="150">
        <f t="shared" si="1"/>
        <v>0.21671388101983005</v>
      </c>
      <c r="H7" s="150">
        <f t="shared" si="2"/>
        <v>0.11363636363636363</v>
      </c>
      <c r="I7" s="150">
        <f t="shared" si="3"/>
        <v>8.3333333333333329E-2</v>
      </c>
      <c r="J7" s="150"/>
      <c r="K7" s="150"/>
      <c r="L7" s="142"/>
      <c r="M7" s="532"/>
      <c r="N7" s="74">
        <v>15.3</v>
      </c>
      <c r="O7" s="74">
        <v>550</v>
      </c>
    </row>
    <row r="8" spans="1:15" ht="12.75" customHeight="1" x14ac:dyDescent="0.35">
      <c r="A8" s="254" t="s">
        <v>1</v>
      </c>
      <c r="B8" s="253">
        <v>6</v>
      </c>
      <c r="C8" s="129">
        <v>0.6</v>
      </c>
      <c r="D8" s="150">
        <v>0.7</v>
      </c>
      <c r="E8" s="150">
        <f t="shared" si="0"/>
        <v>0.75</v>
      </c>
      <c r="F8" s="150">
        <v>0.7</v>
      </c>
      <c r="G8" s="150">
        <f t="shared" si="1"/>
        <v>0.17988668555240794</v>
      </c>
      <c r="H8" s="150">
        <f t="shared" si="2"/>
        <v>0.1115702479338843</v>
      </c>
      <c r="I8" s="150">
        <f t="shared" si="3"/>
        <v>8.3333333333333329E-2</v>
      </c>
      <c r="J8" s="150"/>
      <c r="K8" s="150"/>
      <c r="L8" s="142"/>
      <c r="M8" s="532"/>
      <c r="N8" s="74">
        <v>12.7</v>
      </c>
      <c r="O8" s="74">
        <v>540</v>
      </c>
    </row>
    <row r="9" spans="1:15" ht="12.75" customHeight="1" x14ac:dyDescent="0.35">
      <c r="A9" s="254" t="s">
        <v>2</v>
      </c>
      <c r="B9" s="253">
        <v>7</v>
      </c>
      <c r="C9" s="129">
        <v>0.6</v>
      </c>
      <c r="D9" s="150">
        <v>0.7</v>
      </c>
      <c r="E9" s="150">
        <f t="shared" si="0"/>
        <v>0.75</v>
      </c>
      <c r="F9" s="150">
        <v>0.7</v>
      </c>
      <c r="G9" s="150">
        <f t="shared" si="1"/>
        <v>0.10764872521246459</v>
      </c>
      <c r="H9" s="150">
        <f t="shared" si="2"/>
        <v>0.11983471074380166</v>
      </c>
      <c r="I9" s="150">
        <f t="shared" si="3"/>
        <v>8.3333333333333329E-2</v>
      </c>
      <c r="J9" s="150"/>
      <c r="K9" s="150"/>
      <c r="L9" s="142"/>
      <c r="M9" s="532"/>
      <c r="N9" s="74">
        <v>7.6</v>
      </c>
      <c r="O9" s="74">
        <v>580</v>
      </c>
    </row>
    <row r="10" spans="1:15" ht="12.75" customHeight="1" x14ac:dyDescent="0.35">
      <c r="A10" s="254" t="s">
        <v>3</v>
      </c>
      <c r="B10" s="253">
        <v>8</v>
      </c>
      <c r="C10" s="129">
        <v>0.6</v>
      </c>
      <c r="D10" s="150">
        <v>0.75</v>
      </c>
      <c r="E10" s="150">
        <f t="shared" si="0"/>
        <v>0.77500000000000002</v>
      </c>
      <c r="F10" s="150">
        <v>0.7</v>
      </c>
      <c r="G10" s="150">
        <f t="shared" si="1"/>
        <v>9.0651558073654409E-2</v>
      </c>
      <c r="H10" s="150">
        <f t="shared" si="2"/>
        <v>0.10330578512396695</v>
      </c>
      <c r="I10" s="150">
        <f t="shared" si="3"/>
        <v>8.3333333333333329E-2</v>
      </c>
      <c r="J10" s="150"/>
      <c r="K10" s="150"/>
      <c r="L10" s="142"/>
      <c r="M10" s="532"/>
      <c r="N10" s="74">
        <v>6.4</v>
      </c>
      <c r="O10" s="74">
        <v>500</v>
      </c>
    </row>
    <row r="11" spans="1:15" ht="12.75" customHeight="1" x14ac:dyDescent="0.35">
      <c r="A11" s="254" t="s">
        <v>4</v>
      </c>
      <c r="B11" s="253">
        <v>9</v>
      </c>
      <c r="C11" s="129">
        <v>0.6</v>
      </c>
      <c r="D11" s="150">
        <v>0.75</v>
      </c>
      <c r="E11" s="150">
        <f t="shared" si="0"/>
        <v>0.77500000000000002</v>
      </c>
      <c r="F11" s="150">
        <v>0.9</v>
      </c>
      <c r="G11" s="150">
        <f t="shared" si="1"/>
        <v>9.0651558073654409E-2</v>
      </c>
      <c r="H11" s="150">
        <f t="shared" si="2"/>
        <v>8.8842975206611566E-2</v>
      </c>
      <c r="I11" s="150">
        <f t="shared" si="3"/>
        <v>8.3333333333333329E-2</v>
      </c>
      <c r="J11" s="150"/>
      <c r="K11" s="150"/>
      <c r="L11" s="142"/>
      <c r="M11" s="532"/>
      <c r="N11" s="74">
        <v>6.4</v>
      </c>
      <c r="O11" s="74">
        <v>430</v>
      </c>
    </row>
    <row r="12" spans="1:15" ht="12.75" customHeight="1" x14ac:dyDescent="0.35">
      <c r="A12" s="254" t="s">
        <v>7</v>
      </c>
      <c r="B12" s="253">
        <v>10</v>
      </c>
      <c r="C12" s="129">
        <v>0.7</v>
      </c>
      <c r="D12" s="150">
        <v>0.8</v>
      </c>
      <c r="E12" s="150">
        <f t="shared" si="0"/>
        <v>0.8</v>
      </c>
      <c r="F12" s="150">
        <v>1</v>
      </c>
      <c r="G12" s="150">
        <f t="shared" si="1"/>
        <v>7.2237960339943341E-2</v>
      </c>
      <c r="H12" s="150">
        <f t="shared" si="2"/>
        <v>7.6446280991735532E-2</v>
      </c>
      <c r="I12" s="150">
        <f t="shared" si="3"/>
        <v>8.3333333333333329E-2</v>
      </c>
      <c r="J12" s="150"/>
      <c r="K12" s="150"/>
      <c r="L12" s="142"/>
      <c r="M12" s="532"/>
      <c r="N12" s="74">
        <v>5.0999999999999996</v>
      </c>
      <c r="O12" s="74">
        <v>370</v>
      </c>
    </row>
    <row r="13" spans="1:15" ht="12.75" customHeight="1" x14ac:dyDescent="0.35">
      <c r="A13" s="254" t="s">
        <v>5</v>
      </c>
      <c r="B13" s="253">
        <v>11</v>
      </c>
      <c r="C13" s="129">
        <v>0.7</v>
      </c>
      <c r="D13" s="196">
        <v>0.8</v>
      </c>
      <c r="E13" s="150">
        <f t="shared" si="0"/>
        <v>0.8</v>
      </c>
      <c r="F13" s="150">
        <v>1</v>
      </c>
      <c r="G13" s="150">
        <f t="shared" si="1"/>
        <v>5.3824362606232294E-2</v>
      </c>
      <c r="H13" s="150">
        <f t="shared" si="2"/>
        <v>6.8181818181818177E-2</v>
      </c>
      <c r="I13" s="150">
        <f t="shared" si="3"/>
        <v>8.3333333333333329E-2</v>
      </c>
      <c r="J13" s="150"/>
      <c r="K13" s="150"/>
      <c r="L13" s="142"/>
      <c r="M13" s="532"/>
      <c r="N13" s="74">
        <v>3.8</v>
      </c>
      <c r="O13" s="74">
        <v>330</v>
      </c>
    </row>
    <row r="14" spans="1:15" ht="12.75" customHeight="1" x14ac:dyDescent="0.35">
      <c r="A14" s="254" t="s">
        <v>8</v>
      </c>
      <c r="B14" s="133">
        <v>12</v>
      </c>
      <c r="C14" s="133">
        <v>0.7</v>
      </c>
      <c r="D14" s="151">
        <v>0.9</v>
      </c>
      <c r="E14" s="151">
        <f t="shared" si="0"/>
        <v>0.85000000000000009</v>
      </c>
      <c r="F14" s="151">
        <v>1.3</v>
      </c>
      <c r="G14" s="151">
        <f t="shared" si="1"/>
        <v>3.5410764872521247E-2</v>
      </c>
      <c r="H14" s="151">
        <f t="shared" si="2"/>
        <v>5.7851239669421489E-2</v>
      </c>
      <c r="I14" s="150">
        <f t="shared" si="3"/>
        <v>8.3333333333333329E-2</v>
      </c>
      <c r="J14" s="151"/>
      <c r="K14" s="151"/>
      <c r="L14" s="143"/>
      <c r="M14" s="532"/>
      <c r="N14" s="74">
        <v>2.5</v>
      </c>
      <c r="O14" s="74">
        <v>280</v>
      </c>
    </row>
    <row r="15" spans="1:15" ht="12.75" customHeight="1" x14ac:dyDescent="0.35">
      <c r="G15" s="156"/>
    </row>
    <row r="18" spans="2:10" ht="12.75" customHeight="1" x14ac:dyDescent="0.35">
      <c r="B18" s="162"/>
      <c r="C18" s="162"/>
      <c r="D18" s="162"/>
      <c r="E18" s="162"/>
      <c r="F18" s="162"/>
      <c r="G18" s="162"/>
      <c r="H18" s="162"/>
      <c r="I18" s="162"/>
      <c r="J18" s="162"/>
    </row>
    <row r="19" spans="2:10" ht="12.75" customHeight="1" x14ac:dyDescent="0.35">
      <c r="B19" s="162"/>
      <c r="C19" s="162"/>
      <c r="D19" s="162"/>
      <c r="E19" s="162"/>
      <c r="F19" s="162"/>
      <c r="G19" s="162"/>
      <c r="H19" s="162"/>
      <c r="I19" s="162"/>
      <c r="J19" s="162"/>
    </row>
    <row r="20" spans="2:10" ht="12.75" customHeight="1" x14ac:dyDescent="0.35">
      <c r="B20" s="162"/>
      <c r="C20" s="162"/>
      <c r="D20" s="162"/>
      <c r="E20" s="162"/>
      <c r="F20" s="162"/>
      <c r="G20" s="162"/>
      <c r="H20" s="162"/>
      <c r="I20" s="162"/>
      <c r="J20" s="162"/>
    </row>
    <row r="21" spans="2:10" ht="12.75" customHeight="1" x14ac:dyDescent="0.35">
      <c r="B21" s="162"/>
      <c r="C21" s="162"/>
      <c r="D21" s="162"/>
      <c r="E21" s="162"/>
      <c r="F21" s="162"/>
      <c r="G21" s="162"/>
      <c r="H21" s="162"/>
      <c r="I21" s="162"/>
      <c r="J21" s="162"/>
    </row>
    <row r="22" spans="2:10" ht="12.75" customHeight="1" x14ac:dyDescent="0.35">
      <c r="B22" s="162"/>
      <c r="C22" s="162"/>
      <c r="D22" s="162"/>
      <c r="E22" s="162"/>
      <c r="F22" s="162"/>
      <c r="G22" s="162"/>
      <c r="H22" s="162"/>
      <c r="I22" s="162"/>
      <c r="J22" s="162"/>
    </row>
    <row r="23" spans="2:10" ht="12.75" customHeight="1" x14ac:dyDescent="0.35">
      <c r="B23" s="162"/>
      <c r="C23" s="162"/>
      <c r="D23" s="162"/>
      <c r="E23" s="162"/>
      <c r="F23" s="162"/>
      <c r="G23" s="162"/>
      <c r="H23" s="162"/>
      <c r="I23" s="162"/>
      <c r="J23" s="162"/>
    </row>
    <row r="24" spans="2:10" ht="12.75" customHeight="1" x14ac:dyDescent="0.35">
      <c r="B24" s="162"/>
      <c r="C24" s="162"/>
      <c r="D24" s="162"/>
      <c r="E24" s="162"/>
      <c r="F24" s="162"/>
      <c r="G24" s="162"/>
      <c r="H24" s="162"/>
      <c r="I24" s="162"/>
      <c r="J24" s="162"/>
    </row>
    <row r="25" spans="2:10" ht="12.75" customHeight="1" x14ac:dyDescent="0.35">
      <c r="B25" s="162"/>
      <c r="C25" s="162"/>
      <c r="D25" s="162"/>
      <c r="E25" s="162"/>
      <c r="F25" s="162"/>
      <c r="G25" s="162"/>
      <c r="H25" s="162"/>
      <c r="I25" s="162"/>
      <c r="J25" s="162"/>
    </row>
    <row r="26" spans="2:10" ht="12.75" customHeight="1" x14ac:dyDescent="0.35">
      <c r="B26" s="162"/>
      <c r="C26" s="162"/>
      <c r="D26" s="162"/>
      <c r="E26" s="162"/>
      <c r="F26" s="162"/>
      <c r="G26" s="162"/>
      <c r="H26" s="162"/>
      <c r="I26" s="162"/>
      <c r="J26" s="162"/>
    </row>
    <row r="27" spans="2:10" ht="12.75" customHeight="1" x14ac:dyDescent="0.35">
      <c r="B27" s="162"/>
      <c r="C27" s="162"/>
      <c r="D27" s="162"/>
      <c r="E27" s="162"/>
      <c r="F27" s="162"/>
      <c r="G27" s="162"/>
      <c r="H27" s="162"/>
      <c r="I27" s="162"/>
      <c r="J27" s="162"/>
    </row>
    <row r="28" spans="2:10" ht="12.75" customHeight="1" x14ac:dyDescent="0.35">
      <c r="B28" s="162"/>
      <c r="C28" s="162"/>
      <c r="D28" s="162"/>
      <c r="E28" s="162"/>
      <c r="F28" s="162"/>
      <c r="G28" s="162"/>
      <c r="H28" s="162"/>
      <c r="I28" s="162"/>
      <c r="J28" s="162"/>
    </row>
    <row r="29" spans="2:10" ht="12.75" customHeight="1" x14ac:dyDescent="0.35">
      <c r="B29" s="162"/>
      <c r="C29" s="162"/>
      <c r="D29" s="162"/>
      <c r="E29" s="162"/>
      <c r="F29" s="162"/>
      <c r="G29" s="162"/>
      <c r="H29" s="162"/>
      <c r="I29" s="162"/>
      <c r="J29" s="162"/>
    </row>
    <row r="30" spans="2:10" ht="12.75" customHeight="1" x14ac:dyDescent="0.35">
      <c r="B30" s="162"/>
      <c r="C30" s="162"/>
      <c r="D30" s="162"/>
      <c r="E30" s="162"/>
      <c r="F30" s="162"/>
      <c r="G30" s="162"/>
      <c r="H30" s="162"/>
      <c r="I30" s="162"/>
      <c r="J30" s="162"/>
    </row>
    <row r="31" spans="2:10" ht="12.75" customHeight="1" x14ac:dyDescent="0.35">
      <c r="B31" s="162"/>
      <c r="C31" s="162"/>
      <c r="D31" s="162"/>
      <c r="E31" s="162"/>
      <c r="F31" s="162"/>
      <c r="G31" s="162"/>
      <c r="H31" s="162"/>
      <c r="I31" s="162"/>
      <c r="J31" s="162"/>
    </row>
    <row r="32" spans="2:10" ht="12.75" customHeight="1" x14ac:dyDescent="0.35">
      <c r="B32" s="162"/>
      <c r="C32" s="162"/>
      <c r="D32" s="162"/>
      <c r="E32" s="162"/>
      <c r="F32" s="162"/>
      <c r="G32" s="162"/>
      <c r="H32" s="162"/>
      <c r="I32" s="162"/>
      <c r="J32" s="162"/>
    </row>
    <row r="33" spans="2:10" ht="12.75" customHeight="1" x14ac:dyDescent="0.35">
      <c r="B33" s="162"/>
      <c r="C33" s="162"/>
      <c r="D33" s="162"/>
      <c r="E33" s="162"/>
      <c r="F33" s="162"/>
      <c r="G33" s="162"/>
      <c r="H33" s="162"/>
      <c r="I33" s="162"/>
      <c r="J33" s="162"/>
    </row>
    <row r="34" spans="2:10" ht="12.75" customHeight="1" x14ac:dyDescent="0.35">
      <c r="B34" s="162"/>
      <c r="C34" s="162"/>
      <c r="D34" s="162"/>
      <c r="E34" s="162"/>
      <c r="F34" s="162"/>
      <c r="G34" s="162"/>
      <c r="H34" s="162"/>
      <c r="I34" s="162"/>
      <c r="J34" s="162"/>
    </row>
    <row r="35" spans="2:10" ht="12.75" customHeight="1" x14ac:dyDescent="0.35">
      <c r="B35" s="162"/>
      <c r="C35" s="162"/>
      <c r="D35" s="162"/>
      <c r="E35" s="162"/>
      <c r="F35" s="162"/>
      <c r="G35" s="162"/>
      <c r="H35" s="162"/>
      <c r="I35" s="162"/>
      <c r="J35" s="162"/>
    </row>
    <row r="36" spans="2:10" ht="12.75" customHeight="1" x14ac:dyDescent="0.35">
      <c r="B36" s="162"/>
      <c r="C36" s="162"/>
      <c r="D36" s="162"/>
      <c r="E36" s="162"/>
      <c r="F36" s="162"/>
      <c r="G36" s="162"/>
      <c r="H36" s="162"/>
      <c r="I36" s="162"/>
      <c r="J36" s="162"/>
    </row>
    <row r="37" spans="2:10" ht="12.75" customHeight="1" x14ac:dyDescent="0.35">
      <c r="B37" s="162"/>
      <c r="C37" s="162"/>
      <c r="D37" s="162"/>
      <c r="E37" s="162"/>
      <c r="F37" s="162"/>
      <c r="G37" s="162"/>
      <c r="H37" s="162"/>
      <c r="I37" s="162"/>
      <c r="J37" s="162"/>
    </row>
    <row r="38" spans="2:10" ht="12.75" customHeight="1" x14ac:dyDescent="0.35">
      <c r="B38" s="162"/>
      <c r="C38" s="162"/>
      <c r="D38" s="162"/>
      <c r="E38" s="162"/>
      <c r="F38" s="162"/>
      <c r="G38" s="162"/>
      <c r="H38" s="162"/>
      <c r="I38" s="162"/>
      <c r="J38" s="162"/>
    </row>
  </sheetData>
  <mergeCells count="1">
    <mergeCell ref="M2:M14"/>
  </mergeCells>
  <phoneticPr fontId="26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1"/>
  </sheetPr>
  <dimension ref="A1:K28"/>
  <sheetViews>
    <sheetView zoomScale="85" zoomScaleNormal="85" workbookViewId="0">
      <selection activeCell="H27" sqref="H27"/>
    </sheetView>
  </sheetViews>
  <sheetFormatPr baseColWidth="10" defaultColWidth="11.26953125" defaultRowHeight="12.75" customHeight="1" x14ac:dyDescent="0.35"/>
  <cols>
    <col min="1" max="1" width="8.26953125" style="74" customWidth="1"/>
    <col min="2" max="6" width="6.26953125" style="74" customWidth="1"/>
    <col min="7" max="7" width="3.26953125" style="74" customWidth="1"/>
    <col min="8" max="9" width="16.26953125" style="74" customWidth="1"/>
    <col min="10" max="11" width="20.7265625" style="74" customWidth="1"/>
    <col min="12" max="16384" width="11.26953125" style="74"/>
  </cols>
  <sheetData>
    <row r="1" spans="1:11" s="73" customFormat="1" ht="18.75" customHeight="1" x14ac:dyDescent="0.35">
      <c r="A1" s="75" t="s">
        <v>253</v>
      </c>
      <c r="B1" s="75"/>
      <c r="C1" s="75"/>
      <c r="D1" s="75"/>
      <c r="E1" s="75"/>
      <c r="F1" s="75"/>
      <c r="H1" s="269" t="s">
        <v>235</v>
      </c>
      <c r="I1" s="207"/>
      <c r="J1" s="269" t="s">
        <v>236</v>
      </c>
      <c r="K1" s="272" t="s">
        <v>237</v>
      </c>
    </row>
    <row r="2" spans="1:11" ht="12.75" customHeight="1" x14ac:dyDescent="0.35">
      <c r="A2" s="131"/>
      <c r="B2" s="129" t="s">
        <v>20</v>
      </c>
      <c r="C2" s="128" t="s">
        <v>203</v>
      </c>
      <c r="D2" s="128" t="s">
        <v>204</v>
      </c>
      <c r="E2" s="129"/>
      <c r="F2" s="139"/>
      <c r="H2" s="213" t="s">
        <v>238</v>
      </c>
      <c r="I2" s="270" t="s">
        <v>239</v>
      </c>
      <c r="J2" s="213" t="s">
        <v>240</v>
      </c>
      <c r="K2" s="270" t="s">
        <v>240</v>
      </c>
    </row>
    <row r="3" spans="1:11" ht="12.75" customHeight="1" x14ac:dyDescent="0.35">
      <c r="A3" s="131" t="s">
        <v>74</v>
      </c>
      <c r="B3" s="128">
        <f>H3/I3*1000</f>
        <v>972.78911564625844</v>
      </c>
      <c r="C3" s="128">
        <f>J3*8760</f>
        <v>2452.8000000000002</v>
      </c>
      <c r="D3" s="128"/>
      <c r="E3" s="128"/>
      <c r="F3" s="139"/>
      <c r="G3" s="79"/>
      <c r="H3" s="137">
        <v>143</v>
      </c>
      <c r="I3" s="271">
        <v>147</v>
      </c>
      <c r="J3" s="273">
        <v>0.28000000000000003</v>
      </c>
      <c r="K3" s="271"/>
    </row>
    <row r="4" spans="1:11" ht="12.75" customHeight="1" x14ac:dyDescent="0.35">
      <c r="A4" s="131" t="s">
        <v>45</v>
      </c>
      <c r="B4" s="128">
        <f>H4/I4*1000</f>
        <v>703.7037037037037</v>
      </c>
      <c r="C4" s="128">
        <f>J4*8760</f>
        <v>2102.4</v>
      </c>
      <c r="D4" s="128">
        <f>K4*8760</f>
        <v>4117.2</v>
      </c>
      <c r="E4" s="128"/>
      <c r="F4" s="139"/>
      <c r="G4" s="79"/>
      <c r="H4" s="137">
        <v>95</v>
      </c>
      <c r="I4" s="271">
        <v>135</v>
      </c>
      <c r="J4" s="273">
        <v>0.24</v>
      </c>
      <c r="K4" s="271">
        <v>0.47</v>
      </c>
    </row>
    <row r="5" spans="1:11" ht="12.75" customHeight="1" x14ac:dyDescent="0.35">
      <c r="A5" s="131" t="s">
        <v>72</v>
      </c>
      <c r="B5" s="128">
        <f>B3</f>
        <v>972.78911564625844</v>
      </c>
      <c r="C5" s="128">
        <f>C3</f>
        <v>2452.8000000000002</v>
      </c>
      <c r="D5" s="128"/>
      <c r="E5" s="128"/>
      <c r="F5" s="139"/>
      <c r="H5" s="137" t="s">
        <v>223</v>
      </c>
      <c r="I5" s="271" t="s">
        <v>223</v>
      </c>
      <c r="J5" s="273" t="s">
        <v>223</v>
      </c>
      <c r="K5" s="271"/>
    </row>
    <row r="6" spans="1:11" ht="12.75" customHeight="1" x14ac:dyDescent="0.35">
      <c r="A6" s="131" t="s">
        <v>76</v>
      </c>
      <c r="B6" s="128">
        <f t="shared" ref="B6:B12" si="0">H6/I6*1000</f>
        <v>928.25112107623318</v>
      </c>
      <c r="C6" s="128">
        <f t="shared" ref="C6:C17" si="1">J6*8760</f>
        <v>2102.4</v>
      </c>
      <c r="D6" s="128"/>
      <c r="E6" s="128"/>
      <c r="F6" s="130"/>
      <c r="H6" s="137">
        <v>207</v>
      </c>
      <c r="I6" s="271">
        <v>223</v>
      </c>
      <c r="J6" s="273">
        <v>0.24</v>
      </c>
      <c r="K6" s="271"/>
    </row>
    <row r="7" spans="1:11" ht="12.75" customHeight="1" x14ac:dyDescent="0.35">
      <c r="A7" s="131" t="s">
        <v>139</v>
      </c>
      <c r="B7" s="128">
        <f t="shared" si="0"/>
        <v>881.57894736842104</v>
      </c>
      <c r="C7" s="128">
        <f t="shared" si="1"/>
        <v>3241.2</v>
      </c>
      <c r="D7" s="128">
        <f t="shared" ref="D7:D17" si="2">K7*8760</f>
        <v>4117.2</v>
      </c>
      <c r="E7" s="128"/>
      <c r="F7" s="130"/>
      <c r="H7" s="137">
        <v>134</v>
      </c>
      <c r="I7" s="271">
        <v>152</v>
      </c>
      <c r="J7" s="273">
        <v>0.37</v>
      </c>
      <c r="K7" s="271">
        <v>0.47</v>
      </c>
    </row>
    <row r="8" spans="1:11" ht="12.75" customHeight="1" x14ac:dyDescent="0.35">
      <c r="A8" s="131" t="s">
        <v>46</v>
      </c>
      <c r="B8" s="128">
        <f t="shared" si="0"/>
        <v>1072.3844282238445</v>
      </c>
      <c r="C8" s="128">
        <f t="shared" si="1"/>
        <v>2365.2000000000003</v>
      </c>
      <c r="D8" s="128">
        <f t="shared" si="2"/>
        <v>3679.2</v>
      </c>
      <c r="E8" s="128"/>
      <c r="F8" s="139"/>
      <c r="G8" s="79"/>
      <c r="H8" s="137">
        <v>1763</v>
      </c>
      <c r="I8" s="271">
        <v>1644</v>
      </c>
      <c r="J8" s="273">
        <v>0.27</v>
      </c>
      <c r="K8" s="271">
        <v>0.42</v>
      </c>
    </row>
    <row r="9" spans="1:11" ht="12.75" customHeight="1" x14ac:dyDescent="0.35">
      <c r="A9" s="131" t="s">
        <v>49</v>
      </c>
      <c r="B9" s="128">
        <f t="shared" si="0"/>
        <v>836.94083694083702</v>
      </c>
      <c r="C9" s="128">
        <f t="shared" si="1"/>
        <v>2978.4</v>
      </c>
      <c r="D9" s="128">
        <f t="shared" si="2"/>
        <v>4292.3999999999996</v>
      </c>
      <c r="E9" s="128"/>
      <c r="F9" s="139"/>
      <c r="G9" s="79"/>
      <c r="H9" s="137">
        <v>580</v>
      </c>
      <c r="I9" s="271">
        <v>693</v>
      </c>
      <c r="J9" s="273">
        <v>0.34</v>
      </c>
      <c r="K9" s="271">
        <v>0.49</v>
      </c>
    </row>
    <row r="10" spans="1:11" ht="12.75" customHeight="1" x14ac:dyDescent="0.35">
      <c r="A10" s="131" t="s">
        <v>16</v>
      </c>
      <c r="B10" s="128">
        <f t="shared" si="0"/>
        <v>906.88259109311741</v>
      </c>
      <c r="C10" s="128">
        <f t="shared" si="1"/>
        <v>2102.4</v>
      </c>
      <c r="D10" s="128">
        <f t="shared" si="2"/>
        <v>3854.4</v>
      </c>
      <c r="E10" s="128"/>
      <c r="F10" s="139"/>
      <c r="G10" s="79"/>
      <c r="H10" s="137">
        <v>896</v>
      </c>
      <c r="I10" s="271">
        <v>988</v>
      </c>
      <c r="J10" s="273">
        <v>0.24</v>
      </c>
      <c r="K10" s="271">
        <v>0.44</v>
      </c>
    </row>
    <row r="11" spans="1:11" ht="12.75" customHeight="1" x14ac:dyDescent="0.35">
      <c r="A11" s="131" t="s">
        <v>79</v>
      </c>
      <c r="B11" s="128">
        <f t="shared" si="0"/>
        <v>1353.5031847133757</v>
      </c>
      <c r="C11" s="128">
        <f t="shared" si="1"/>
        <v>2452.8000000000002</v>
      </c>
      <c r="D11" s="128">
        <f t="shared" si="2"/>
        <v>2540.3999999999996</v>
      </c>
      <c r="E11" s="128"/>
      <c r="F11" s="139"/>
      <c r="G11" s="79"/>
      <c r="H11" s="137">
        <v>425</v>
      </c>
      <c r="I11" s="271">
        <v>314</v>
      </c>
      <c r="J11" s="273">
        <v>0.28000000000000003</v>
      </c>
      <c r="K11" s="271">
        <v>0.28999999999999998</v>
      </c>
    </row>
    <row r="12" spans="1:11" ht="12.75" customHeight="1" x14ac:dyDescent="0.35">
      <c r="A12" s="131" t="s">
        <v>44</v>
      </c>
      <c r="B12" s="128">
        <f t="shared" si="0"/>
        <v>896.2962962962963</v>
      </c>
      <c r="C12" s="128">
        <f t="shared" si="1"/>
        <v>2803.2000000000003</v>
      </c>
      <c r="D12" s="128">
        <f t="shared" si="2"/>
        <v>4117.2</v>
      </c>
      <c r="E12" s="128"/>
      <c r="F12" s="139"/>
      <c r="G12" s="79"/>
      <c r="H12" s="137">
        <v>121</v>
      </c>
      <c r="I12" s="271">
        <v>135</v>
      </c>
      <c r="J12" s="273">
        <v>0.32</v>
      </c>
      <c r="K12" s="271">
        <v>0.47</v>
      </c>
    </row>
    <row r="13" spans="1:11" ht="12.75" customHeight="1" x14ac:dyDescent="0.35">
      <c r="A13" s="131" t="s">
        <v>47</v>
      </c>
      <c r="B13" s="128">
        <f>B15</f>
        <v>836.87943262411341</v>
      </c>
      <c r="C13" s="128">
        <f t="shared" si="1"/>
        <v>3241.2</v>
      </c>
      <c r="D13" s="128">
        <f t="shared" si="2"/>
        <v>4117.2</v>
      </c>
      <c r="E13" s="128"/>
      <c r="F13" s="139"/>
      <c r="H13" s="137" t="s">
        <v>223</v>
      </c>
      <c r="I13" s="271" t="s">
        <v>223</v>
      </c>
      <c r="J13" s="273">
        <f>J7</f>
        <v>0.37</v>
      </c>
      <c r="K13" s="271">
        <f>K7</f>
        <v>0.47</v>
      </c>
    </row>
    <row r="14" spans="1:11" ht="12.75" customHeight="1" x14ac:dyDescent="0.35">
      <c r="A14" s="131" t="s">
        <v>43</v>
      </c>
      <c r="B14" s="128">
        <f>H14/I14*1000</f>
        <v>913.77379619260921</v>
      </c>
      <c r="C14" s="128">
        <f t="shared" si="1"/>
        <v>2277.6</v>
      </c>
      <c r="D14" s="128">
        <f t="shared" si="2"/>
        <v>3942</v>
      </c>
      <c r="E14" s="128"/>
      <c r="F14" s="139"/>
      <c r="G14" s="79"/>
      <c r="H14" s="137">
        <v>816</v>
      </c>
      <c r="I14" s="271">
        <v>893</v>
      </c>
      <c r="J14" s="273">
        <v>0.26</v>
      </c>
      <c r="K14" s="271">
        <v>0.45</v>
      </c>
    </row>
    <row r="15" spans="1:11" ht="12.75" customHeight="1" x14ac:dyDescent="0.35">
      <c r="A15" s="131" t="s">
        <v>26</v>
      </c>
      <c r="B15" s="128">
        <f>H15/I15*1000</f>
        <v>836.87943262411341</v>
      </c>
      <c r="C15" s="128">
        <f t="shared" si="1"/>
        <v>2628</v>
      </c>
      <c r="D15" s="128">
        <f t="shared" si="2"/>
        <v>3854.4</v>
      </c>
      <c r="E15" s="128"/>
      <c r="F15" s="139"/>
      <c r="H15" s="137">
        <v>118</v>
      </c>
      <c r="I15" s="271">
        <v>141</v>
      </c>
      <c r="J15" s="273">
        <v>0.3</v>
      </c>
      <c r="K15" s="271">
        <v>0.44</v>
      </c>
    </row>
    <row r="16" spans="1:11" ht="12.75" customHeight="1" x14ac:dyDescent="0.35">
      <c r="A16" s="131" t="s">
        <v>69</v>
      </c>
      <c r="B16" s="128">
        <f>H16/I16*1000</f>
        <v>1445.7099468488989</v>
      </c>
      <c r="C16" s="128">
        <f t="shared" si="1"/>
        <v>2277.6</v>
      </c>
      <c r="D16" s="128">
        <f t="shared" si="2"/>
        <v>2715.6</v>
      </c>
      <c r="E16" s="128"/>
      <c r="F16" s="139"/>
      <c r="G16" s="79"/>
      <c r="H16" s="137">
        <v>1904</v>
      </c>
      <c r="I16" s="271">
        <v>1317</v>
      </c>
      <c r="J16" s="273">
        <v>0.26</v>
      </c>
      <c r="K16" s="271">
        <v>0.31</v>
      </c>
    </row>
    <row r="17" spans="1:11" ht="12.75" customHeight="1" x14ac:dyDescent="0.35">
      <c r="A17" s="131" t="s">
        <v>73</v>
      </c>
      <c r="B17" s="128">
        <f>H17/I17*1000</f>
        <v>1267.4943566591421</v>
      </c>
      <c r="C17" s="128">
        <f t="shared" si="1"/>
        <v>2190</v>
      </c>
      <c r="D17" s="128">
        <f t="shared" si="2"/>
        <v>2190</v>
      </c>
      <c r="E17" s="128"/>
      <c r="F17" s="139"/>
      <c r="G17" s="79"/>
      <c r="H17" s="137">
        <v>1123</v>
      </c>
      <c r="I17" s="271">
        <v>886</v>
      </c>
      <c r="J17" s="273">
        <v>0.25</v>
      </c>
      <c r="K17" s="271">
        <v>0.25</v>
      </c>
    </row>
    <row r="18" spans="1:11" ht="12.75" customHeight="1" x14ac:dyDescent="0.35">
      <c r="A18" s="131"/>
      <c r="B18" s="129"/>
      <c r="C18" s="129"/>
      <c r="D18" s="129"/>
      <c r="E18" s="129"/>
      <c r="F18" s="130"/>
      <c r="H18" s="533" t="s">
        <v>241</v>
      </c>
      <c r="I18" s="534"/>
      <c r="J18" s="533" t="s">
        <v>242</v>
      </c>
      <c r="K18" s="534"/>
    </row>
    <row r="19" spans="1:11" ht="12.75" customHeight="1" x14ac:dyDescent="0.35">
      <c r="A19" s="131"/>
      <c r="B19" s="129"/>
      <c r="C19" s="129"/>
      <c r="D19" s="129"/>
      <c r="E19" s="129"/>
      <c r="F19" s="130"/>
      <c r="H19" s="533"/>
      <c r="I19" s="534"/>
      <c r="J19" s="533"/>
      <c r="K19" s="534"/>
    </row>
    <row r="20" spans="1:11" ht="12.75" customHeight="1" x14ac:dyDescent="0.35">
      <c r="A20" s="131"/>
      <c r="B20" s="129"/>
      <c r="C20" s="129"/>
      <c r="D20" s="129"/>
      <c r="E20" s="129"/>
      <c r="F20" s="130"/>
      <c r="H20" s="533"/>
      <c r="I20" s="534"/>
      <c r="J20" s="533"/>
      <c r="K20" s="534"/>
    </row>
    <row r="21" spans="1:11" ht="12.75" customHeight="1" x14ac:dyDescent="0.35">
      <c r="A21" s="132"/>
      <c r="B21" s="133"/>
      <c r="C21" s="133"/>
      <c r="D21" s="133"/>
      <c r="E21" s="133"/>
      <c r="F21" s="134"/>
      <c r="H21" s="535"/>
      <c r="I21" s="536"/>
      <c r="J21" s="535"/>
      <c r="K21" s="536"/>
    </row>
    <row r="22" spans="1:11" ht="12.75" customHeight="1" x14ac:dyDescent="0.35">
      <c r="A22" s="145" t="s">
        <v>120</v>
      </c>
      <c r="B22" s="145"/>
      <c r="C22" s="145"/>
      <c r="D22" s="145"/>
      <c r="E22" s="145"/>
    </row>
    <row r="25" spans="1:11" ht="12.75" customHeight="1" x14ac:dyDescent="0.35">
      <c r="A25" s="117"/>
      <c r="B25" s="117"/>
      <c r="C25" s="117"/>
      <c r="D25" s="117"/>
      <c r="E25" s="117"/>
      <c r="F25" s="118"/>
      <c r="G25" s="117"/>
    </row>
    <row r="27" spans="1:11" s="164" customFormat="1" ht="12.75" customHeight="1" x14ac:dyDescent="0.35">
      <c r="C27" s="74"/>
      <c r="D27" s="74"/>
      <c r="E27" s="74"/>
      <c r="F27" s="74"/>
      <c r="G27" s="74"/>
      <c r="H27" s="74"/>
      <c r="I27" s="74"/>
      <c r="J27" s="74"/>
    </row>
    <row r="28" spans="1:11" s="164" customFormat="1" ht="12.75" customHeight="1" x14ac:dyDescent="0.35">
      <c r="C28" s="74"/>
      <c r="D28" s="74"/>
      <c r="E28" s="74"/>
      <c r="F28" s="74"/>
      <c r="G28" s="74"/>
      <c r="H28" s="74"/>
      <c r="I28" s="74"/>
      <c r="J28" s="74"/>
    </row>
  </sheetData>
  <mergeCells count="2">
    <mergeCell ref="H18:I21"/>
    <mergeCell ref="J18:K21"/>
  </mergeCells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E947-F7C9-4756-AFD6-67F9622848F5}">
  <dimension ref="A1:P20"/>
  <sheetViews>
    <sheetView workbookViewId="0"/>
  </sheetViews>
  <sheetFormatPr baseColWidth="10" defaultColWidth="8.7265625" defaultRowHeight="12.5" x14ac:dyDescent="0.25"/>
  <cols>
    <col min="1" max="1" width="12.26953125" style="228" customWidth="1"/>
    <col min="2" max="16" width="5.26953125" style="201" customWidth="1"/>
    <col min="17" max="16384" width="8.7265625" style="201"/>
  </cols>
  <sheetData>
    <row r="1" spans="1:16" ht="14.5" x14ac:dyDescent="0.25">
      <c r="A1" s="221" t="s">
        <v>196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6"/>
    </row>
    <row r="2" spans="1:16" ht="14.5" x14ac:dyDescent="0.25">
      <c r="A2" s="222"/>
      <c r="B2" s="184" t="s">
        <v>74</v>
      </c>
      <c r="C2" s="184" t="s">
        <v>45</v>
      </c>
      <c r="D2" s="184" t="s">
        <v>76</v>
      </c>
      <c r="E2" s="184" t="s">
        <v>139</v>
      </c>
      <c r="F2" s="184" t="s">
        <v>46</v>
      </c>
      <c r="G2" s="184" t="s">
        <v>16</v>
      </c>
      <c r="H2" s="184" t="s">
        <v>73</v>
      </c>
      <c r="I2" s="184" t="s">
        <v>44</v>
      </c>
      <c r="J2" s="184" t="s">
        <v>43</v>
      </c>
      <c r="K2" s="184" t="s">
        <v>69</v>
      </c>
      <c r="L2" s="184" t="s">
        <v>26</v>
      </c>
      <c r="M2" s="184" t="s">
        <v>49</v>
      </c>
      <c r="N2" s="184" t="s">
        <v>47</v>
      </c>
      <c r="O2" s="184"/>
      <c r="P2" s="185"/>
    </row>
    <row r="3" spans="1:16" ht="14.5" x14ac:dyDescent="0.35">
      <c r="A3" s="223" t="s">
        <v>188</v>
      </c>
      <c r="B3" s="227">
        <v>0.2</v>
      </c>
      <c r="C3" s="227">
        <v>0.2</v>
      </c>
      <c r="D3" s="227">
        <v>0.2</v>
      </c>
      <c r="E3" s="227">
        <v>0.2</v>
      </c>
      <c r="F3" s="227">
        <v>0.2</v>
      </c>
      <c r="G3" s="227">
        <v>0.2</v>
      </c>
      <c r="H3" s="227">
        <v>0.2</v>
      </c>
      <c r="I3" s="227">
        <v>0.2</v>
      </c>
      <c r="J3" s="227">
        <v>0.2</v>
      </c>
      <c r="K3" s="227">
        <v>0.2</v>
      </c>
      <c r="L3" s="227">
        <v>0.2</v>
      </c>
      <c r="M3" s="227">
        <v>0.2</v>
      </c>
      <c r="N3" s="227">
        <v>0.2</v>
      </c>
      <c r="O3" s="227"/>
      <c r="P3" s="130"/>
    </row>
    <row r="4" spans="1:16" ht="14.5" x14ac:dyDescent="0.35">
      <c r="A4" s="223">
        <v>2030</v>
      </c>
      <c r="B4" s="227">
        <v>0.75411380030000008</v>
      </c>
      <c r="C4" s="227">
        <v>0.2853713155</v>
      </c>
      <c r="D4" s="227">
        <v>0.1195503732</v>
      </c>
      <c r="E4" s="227">
        <v>0.71366768160000005</v>
      </c>
      <c r="F4" s="227">
        <v>0.38543197630000003</v>
      </c>
      <c r="G4" s="227">
        <v>0.65</v>
      </c>
      <c r="H4" s="227">
        <v>0.41322218149999995</v>
      </c>
      <c r="I4" s="227">
        <v>0.37465354509999999</v>
      </c>
      <c r="J4" s="227">
        <v>0.19779496349999998</v>
      </c>
      <c r="K4" s="227">
        <v>0.55821225829999999</v>
      </c>
      <c r="L4" s="227">
        <v>0.68917805880000005</v>
      </c>
      <c r="M4" s="227">
        <v>0.42531179469999997</v>
      </c>
      <c r="N4" s="227">
        <v>1</v>
      </c>
      <c r="O4" s="227"/>
      <c r="P4" s="130"/>
    </row>
    <row r="5" spans="1:16" ht="14.5" x14ac:dyDescent="0.35">
      <c r="A5" s="223" t="s">
        <v>199</v>
      </c>
      <c r="B5" s="227">
        <f>B4</f>
        <v>0.75411380030000008</v>
      </c>
      <c r="C5" s="227">
        <f t="shared" ref="C5:N5" si="0">C4</f>
        <v>0.2853713155</v>
      </c>
      <c r="D5" s="227">
        <f t="shared" si="0"/>
        <v>0.1195503732</v>
      </c>
      <c r="E5" s="227">
        <f t="shared" si="0"/>
        <v>0.71366768160000005</v>
      </c>
      <c r="F5" s="227">
        <f t="shared" si="0"/>
        <v>0.38543197630000003</v>
      </c>
      <c r="G5" s="227">
        <f t="shared" si="0"/>
        <v>0.65</v>
      </c>
      <c r="H5" s="227">
        <f t="shared" si="0"/>
        <v>0.41322218149999995</v>
      </c>
      <c r="I5" s="227">
        <f t="shared" si="0"/>
        <v>0.37465354509999999</v>
      </c>
      <c r="J5" s="227">
        <f t="shared" si="0"/>
        <v>0.19779496349999998</v>
      </c>
      <c r="K5" s="227">
        <f t="shared" si="0"/>
        <v>0.55821225829999999</v>
      </c>
      <c r="L5" s="227">
        <f t="shared" si="0"/>
        <v>0.68917805880000005</v>
      </c>
      <c r="M5" s="227">
        <f t="shared" si="0"/>
        <v>0.42531179469999997</v>
      </c>
      <c r="N5" s="227">
        <f t="shared" si="0"/>
        <v>1</v>
      </c>
      <c r="O5" s="128"/>
      <c r="P5" s="130"/>
    </row>
    <row r="6" spans="1:16" ht="14.5" x14ac:dyDescent="0.35">
      <c r="A6" s="223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30"/>
    </row>
    <row r="7" spans="1:16" ht="14.5" x14ac:dyDescent="0.35">
      <c r="A7" s="223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30"/>
    </row>
    <row r="8" spans="1:16" ht="14.5" x14ac:dyDescent="0.35">
      <c r="A8" s="223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30"/>
    </row>
    <row r="9" spans="1:16" ht="14.5" x14ac:dyDescent="0.35">
      <c r="A9" s="223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30"/>
    </row>
    <row r="10" spans="1:16" ht="14.5" x14ac:dyDescent="0.35">
      <c r="A10" s="223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30"/>
    </row>
    <row r="11" spans="1:16" ht="14.5" x14ac:dyDescent="0.35">
      <c r="A11" s="223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30"/>
    </row>
    <row r="12" spans="1:16" ht="14.5" x14ac:dyDescent="0.35">
      <c r="A12" s="223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30"/>
    </row>
    <row r="13" spans="1:16" ht="14.5" x14ac:dyDescent="0.35">
      <c r="A13" s="224"/>
      <c r="B13" s="128"/>
      <c r="C13" s="128"/>
      <c r="D13" s="128"/>
      <c r="E13" s="128"/>
      <c r="F13" s="128"/>
      <c r="G13" s="220"/>
      <c r="H13" s="220"/>
      <c r="I13" s="220"/>
      <c r="J13" s="220"/>
      <c r="K13" s="220"/>
      <c r="L13" s="220"/>
      <c r="M13" s="220"/>
      <c r="N13" s="220"/>
      <c r="O13" s="128"/>
      <c r="P13" s="130"/>
    </row>
    <row r="14" spans="1:16" ht="14.5" x14ac:dyDescent="0.35">
      <c r="A14" s="223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30"/>
    </row>
    <row r="15" spans="1:16" ht="14.5" x14ac:dyDescent="0.35">
      <c r="A15" s="225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218"/>
    </row>
    <row r="16" spans="1:16" ht="14.5" x14ac:dyDescent="0.35">
      <c r="A16" s="225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218"/>
    </row>
    <row r="17" spans="1:16" ht="14.5" x14ac:dyDescent="0.35">
      <c r="A17" s="223"/>
      <c r="B17" s="161"/>
      <c r="C17" s="161"/>
      <c r="D17" s="129"/>
      <c r="E17" s="129"/>
      <c r="F17" s="129"/>
      <c r="G17" s="129"/>
      <c r="H17" s="128"/>
      <c r="I17" s="129"/>
      <c r="J17" s="129"/>
      <c r="K17" s="129"/>
      <c r="L17" s="129"/>
      <c r="M17" s="129"/>
      <c r="N17" s="129"/>
      <c r="O17" s="129"/>
      <c r="P17" s="130"/>
    </row>
    <row r="18" spans="1:16" ht="14.5" x14ac:dyDescent="0.35">
      <c r="A18" s="223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30"/>
    </row>
    <row r="19" spans="1:16" ht="14.5" x14ac:dyDescent="0.35">
      <c r="A19" s="224"/>
      <c r="B19" s="161"/>
      <c r="C19" s="161"/>
      <c r="D19" s="160"/>
      <c r="E19" s="160"/>
      <c r="F19" s="160"/>
      <c r="G19" s="193"/>
      <c r="H19" s="194"/>
      <c r="I19" s="180"/>
      <c r="J19" s="180"/>
      <c r="K19" s="180"/>
      <c r="L19" s="180"/>
      <c r="M19" s="195"/>
      <c r="N19" s="180"/>
      <c r="O19" s="129"/>
      <c r="P19" s="130"/>
    </row>
    <row r="20" spans="1:16" ht="14.5" x14ac:dyDescent="0.35">
      <c r="A20" s="226"/>
      <c r="B20" s="165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7"/>
  </sheetPr>
  <dimension ref="A1:AK35"/>
  <sheetViews>
    <sheetView zoomScale="80" zoomScaleNormal="80" zoomScaleSheetLayoutView="70" workbookViewId="0">
      <selection sqref="A1:AI1"/>
    </sheetView>
  </sheetViews>
  <sheetFormatPr baseColWidth="10" defaultColWidth="11.26953125" defaultRowHeight="12.5" x14ac:dyDescent="0.25"/>
  <cols>
    <col min="1" max="1" width="17" style="77" bestFit="1" customWidth="1"/>
    <col min="2" max="2" width="5.54296875" style="77" customWidth="1"/>
    <col min="3" max="22" width="5" style="77" customWidth="1"/>
    <col min="23" max="23" width="5.26953125" style="77" customWidth="1"/>
    <col min="24" max="35" width="5" style="77" customWidth="1"/>
    <col min="36" max="16384" width="11.26953125" style="77"/>
  </cols>
  <sheetData>
    <row r="1" spans="1:37" ht="19.5" customHeight="1" x14ac:dyDescent="0.25">
      <c r="A1" s="537" t="s">
        <v>124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  <c r="AE1" s="537"/>
      <c r="AF1" s="537"/>
      <c r="AG1" s="537"/>
      <c r="AH1" s="537"/>
      <c r="AI1" s="537"/>
    </row>
    <row r="2" spans="1:37" ht="14.5" x14ac:dyDescent="0.35">
      <c r="A2" s="251" t="s">
        <v>214</v>
      </c>
      <c r="B2" s="146"/>
      <c r="C2" s="125" t="s">
        <v>74</v>
      </c>
      <c r="D2" s="125" t="s">
        <v>45</v>
      </c>
      <c r="E2" s="125" t="s">
        <v>86</v>
      </c>
      <c r="F2" s="125" t="s">
        <v>82</v>
      </c>
      <c r="G2" s="125" t="s">
        <v>72</v>
      </c>
      <c r="H2" s="125" t="s">
        <v>76</v>
      </c>
      <c r="I2" s="125" t="s">
        <v>139</v>
      </c>
      <c r="J2" s="125" t="s">
        <v>65</v>
      </c>
      <c r="K2" s="125" t="s">
        <v>64</v>
      </c>
      <c r="L2" s="125" t="s">
        <v>69</v>
      </c>
      <c r="M2" s="125" t="s">
        <v>71</v>
      </c>
      <c r="N2" s="125" t="s">
        <v>46</v>
      </c>
      <c r="O2" s="125" t="s">
        <v>49</v>
      </c>
      <c r="P2" s="125" t="s">
        <v>16</v>
      </c>
      <c r="Q2" s="125" t="s">
        <v>79</v>
      </c>
      <c r="R2" s="125" t="s">
        <v>81</v>
      </c>
      <c r="S2" s="125" t="s">
        <v>78</v>
      </c>
      <c r="T2" s="125" t="s">
        <v>67</v>
      </c>
      <c r="U2" s="125" t="s">
        <v>85</v>
      </c>
      <c r="V2" s="125" t="s">
        <v>84</v>
      </c>
      <c r="W2" s="125" t="s">
        <v>44</v>
      </c>
      <c r="X2" s="125" t="s">
        <v>47</v>
      </c>
      <c r="Y2" s="125" t="s">
        <v>43</v>
      </c>
      <c r="Z2" s="125" t="s">
        <v>68</v>
      </c>
      <c r="AA2" s="125" t="s">
        <v>80</v>
      </c>
      <c r="AB2" s="125" t="s">
        <v>26</v>
      </c>
      <c r="AC2" s="125" t="s">
        <v>157</v>
      </c>
      <c r="AD2" s="125" t="s">
        <v>158</v>
      </c>
      <c r="AE2" s="125" t="s">
        <v>159</v>
      </c>
      <c r="AF2" s="125" t="s">
        <v>160</v>
      </c>
      <c r="AG2" s="125" t="s">
        <v>83</v>
      </c>
      <c r="AH2" s="125" t="s">
        <v>77</v>
      </c>
      <c r="AI2" s="126" t="s">
        <v>75</v>
      </c>
      <c r="AJ2" s="538" t="s">
        <v>122</v>
      </c>
    </row>
    <row r="3" spans="1:37" ht="14.5" x14ac:dyDescent="0.35">
      <c r="A3" s="74"/>
      <c r="B3" s="131" t="s">
        <v>74</v>
      </c>
      <c r="C3" s="129"/>
      <c r="D3" s="129"/>
      <c r="E3" s="129">
        <v>0</v>
      </c>
      <c r="F3" s="129">
        <v>0</v>
      </c>
      <c r="G3" s="160">
        <v>426</v>
      </c>
      <c r="H3" s="129">
        <v>263</v>
      </c>
      <c r="I3" s="129"/>
      <c r="J3" s="129">
        <v>0</v>
      </c>
      <c r="K3" s="129">
        <v>0</v>
      </c>
      <c r="L3" s="129">
        <v>0</v>
      </c>
      <c r="M3" s="129">
        <v>0</v>
      </c>
      <c r="N3" s="129"/>
      <c r="O3" s="129"/>
      <c r="P3" s="129">
        <v>463</v>
      </c>
      <c r="Q3" s="129">
        <v>0</v>
      </c>
      <c r="R3" s="129">
        <v>0</v>
      </c>
      <c r="S3" s="129">
        <v>434</v>
      </c>
      <c r="T3" s="129">
        <v>0</v>
      </c>
      <c r="U3" s="129"/>
      <c r="V3" s="129"/>
      <c r="W3" s="129"/>
      <c r="X3" s="129"/>
      <c r="Y3" s="129"/>
      <c r="Z3" s="129"/>
      <c r="AA3" s="129"/>
      <c r="AB3" s="129"/>
      <c r="AC3" s="129">
        <v>0</v>
      </c>
      <c r="AD3" s="129">
        <v>0</v>
      </c>
      <c r="AE3" s="129">
        <v>0</v>
      </c>
      <c r="AF3" s="129">
        <v>0</v>
      </c>
      <c r="AG3" s="129">
        <v>0</v>
      </c>
      <c r="AH3" s="129">
        <v>0</v>
      </c>
      <c r="AI3" s="130">
        <v>1</v>
      </c>
      <c r="AJ3" s="538"/>
    </row>
    <row r="4" spans="1:37" ht="14.5" x14ac:dyDescent="0.35">
      <c r="A4" s="74"/>
      <c r="B4" s="131" t="s">
        <v>45</v>
      </c>
      <c r="C4" s="129"/>
      <c r="D4" s="129"/>
      <c r="E4" s="129">
        <v>0</v>
      </c>
      <c r="F4" s="129">
        <v>0</v>
      </c>
      <c r="G4" s="129"/>
      <c r="H4" s="129"/>
      <c r="I4" s="129"/>
      <c r="J4" s="129">
        <v>0</v>
      </c>
      <c r="K4" s="129">
        <v>0</v>
      </c>
      <c r="L4" s="129">
        <v>0</v>
      </c>
      <c r="M4" s="129">
        <v>0</v>
      </c>
      <c r="N4" s="129">
        <v>260</v>
      </c>
      <c r="O4" s="129">
        <v>614</v>
      </c>
      <c r="P4" s="129">
        <v>409</v>
      </c>
      <c r="Q4" s="129">
        <v>0</v>
      </c>
      <c r="R4" s="129">
        <v>0</v>
      </c>
      <c r="S4" s="129">
        <v>0</v>
      </c>
      <c r="T4" s="129">
        <v>0</v>
      </c>
      <c r="U4" s="129">
        <v>0</v>
      </c>
      <c r="V4" s="129">
        <v>0</v>
      </c>
      <c r="W4" s="129">
        <v>176</v>
      </c>
      <c r="X4" s="129"/>
      <c r="Y4" s="129"/>
      <c r="Z4" s="129"/>
      <c r="AA4" s="129"/>
      <c r="AB4" s="129"/>
      <c r="AC4" s="129">
        <v>0</v>
      </c>
      <c r="AD4" s="129">
        <v>0</v>
      </c>
      <c r="AE4" s="129">
        <v>0</v>
      </c>
      <c r="AF4" s="129">
        <v>0</v>
      </c>
      <c r="AG4" s="129">
        <v>0</v>
      </c>
      <c r="AH4" s="129">
        <v>0</v>
      </c>
      <c r="AI4" s="130">
        <v>0</v>
      </c>
      <c r="AJ4" s="538"/>
      <c r="AK4" s="77" t="s">
        <v>220</v>
      </c>
    </row>
    <row r="5" spans="1:37" ht="14.5" x14ac:dyDescent="0.35">
      <c r="A5" s="74"/>
      <c r="B5" s="131" t="s">
        <v>86</v>
      </c>
      <c r="C5" s="129">
        <v>0</v>
      </c>
      <c r="D5" s="129">
        <v>0</v>
      </c>
      <c r="E5" s="129">
        <v>0</v>
      </c>
      <c r="F5" s="129">
        <v>0</v>
      </c>
      <c r="G5" s="129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>
        <v>0</v>
      </c>
      <c r="P5" s="129">
        <v>0</v>
      </c>
      <c r="Q5" s="129">
        <v>1</v>
      </c>
      <c r="R5" s="129">
        <v>0</v>
      </c>
      <c r="S5" s="129">
        <v>0</v>
      </c>
      <c r="T5" s="129">
        <v>0</v>
      </c>
      <c r="U5" s="129">
        <v>1</v>
      </c>
      <c r="V5" s="129">
        <v>0</v>
      </c>
      <c r="W5" s="129">
        <v>0</v>
      </c>
      <c r="X5" s="129">
        <v>0</v>
      </c>
      <c r="Y5" s="129">
        <v>0</v>
      </c>
      <c r="Z5" s="129">
        <v>0</v>
      </c>
      <c r="AA5" s="129">
        <v>1</v>
      </c>
      <c r="AB5" s="129">
        <v>0</v>
      </c>
      <c r="AC5" s="129">
        <v>0</v>
      </c>
      <c r="AD5" s="129">
        <v>0</v>
      </c>
      <c r="AE5" s="129">
        <v>0</v>
      </c>
      <c r="AF5" s="129">
        <v>0</v>
      </c>
      <c r="AG5" s="129">
        <v>1</v>
      </c>
      <c r="AH5" s="129">
        <v>0</v>
      </c>
      <c r="AI5" s="130">
        <v>0</v>
      </c>
      <c r="AJ5" s="538"/>
      <c r="AK5" s="252" t="s">
        <v>215</v>
      </c>
    </row>
    <row r="6" spans="1:37" ht="14.5" x14ac:dyDescent="0.35">
      <c r="A6" s="74"/>
      <c r="B6" s="131" t="s">
        <v>82</v>
      </c>
      <c r="C6" s="129">
        <v>0</v>
      </c>
      <c r="D6" s="129">
        <v>0</v>
      </c>
      <c r="E6" s="129">
        <v>0</v>
      </c>
      <c r="F6" s="129">
        <v>0</v>
      </c>
      <c r="G6" s="129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>
        <v>0</v>
      </c>
      <c r="P6" s="129">
        <v>0</v>
      </c>
      <c r="Q6" s="129">
        <v>0</v>
      </c>
      <c r="R6" s="129">
        <v>1</v>
      </c>
      <c r="S6" s="129">
        <v>0</v>
      </c>
      <c r="T6" s="129">
        <v>0</v>
      </c>
      <c r="U6" s="129">
        <v>0</v>
      </c>
      <c r="V6" s="129">
        <v>1</v>
      </c>
      <c r="W6" s="129">
        <v>0</v>
      </c>
      <c r="X6" s="129">
        <v>0</v>
      </c>
      <c r="Y6" s="129">
        <v>0</v>
      </c>
      <c r="Z6" s="129">
        <v>0</v>
      </c>
      <c r="AA6" s="129">
        <v>0</v>
      </c>
      <c r="AB6" s="129">
        <v>0</v>
      </c>
      <c r="AC6" s="129">
        <v>0</v>
      </c>
      <c r="AD6" s="129">
        <v>0</v>
      </c>
      <c r="AE6" s="129">
        <v>0</v>
      </c>
      <c r="AF6" s="129">
        <v>0</v>
      </c>
      <c r="AG6" s="129">
        <v>1</v>
      </c>
      <c r="AH6" s="129">
        <v>0</v>
      </c>
      <c r="AI6" s="130">
        <v>0</v>
      </c>
      <c r="AJ6" s="538"/>
      <c r="AK6" s="252" t="s">
        <v>216</v>
      </c>
    </row>
    <row r="7" spans="1:37" ht="14.5" x14ac:dyDescent="0.35">
      <c r="A7" s="74"/>
      <c r="B7" s="131" t="s">
        <v>72</v>
      </c>
      <c r="C7" s="160">
        <v>426</v>
      </c>
      <c r="D7" s="129"/>
      <c r="E7" s="129">
        <v>0</v>
      </c>
      <c r="F7" s="129">
        <v>0</v>
      </c>
      <c r="G7" s="129"/>
      <c r="H7" s="129"/>
      <c r="I7" s="129"/>
      <c r="J7" s="129">
        <v>0</v>
      </c>
      <c r="K7" s="129">
        <v>0</v>
      </c>
      <c r="L7" s="129">
        <v>0</v>
      </c>
      <c r="M7" s="129">
        <v>0</v>
      </c>
      <c r="N7" s="129">
        <v>491</v>
      </c>
      <c r="O7" s="129"/>
      <c r="P7" s="129">
        <v>501</v>
      </c>
      <c r="Q7" s="129">
        <v>0</v>
      </c>
      <c r="R7" s="129">
        <v>0</v>
      </c>
      <c r="S7" s="129">
        <v>0</v>
      </c>
      <c r="T7" s="129">
        <v>0</v>
      </c>
      <c r="U7" s="129">
        <v>0</v>
      </c>
      <c r="V7" s="129">
        <v>0</v>
      </c>
      <c r="W7" s="129"/>
      <c r="X7" s="129"/>
      <c r="Y7" s="129"/>
      <c r="Z7" s="129"/>
      <c r="AA7" s="129"/>
      <c r="AB7" s="129"/>
      <c r="AC7" s="129">
        <v>0</v>
      </c>
      <c r="AD7" s="129">
        <v>0</v>
      </c>
      <c r="AE7" s="129">
        <v>0</v>
      </c>
      <c r="AF7" s="129">
        <v>0</v>
      </c>
      <c r="AG7" s="129">
        <v>0</v>
      </c>
      <c r="AH7" s="129">
        <v>0</v>
      </c>
      <c r="AI7" s="130">
        <v>0</v>
      </c>
      <c r="AJ7" s="538"/>
    </row>
    <row r="8" spans="1:37" ht="14.5" x14ac:dyDescent="0.35">
      <c r="A8" s="74"/>
      <c r="B8" s="131" t="s">
        <v>76</v>
      </c>
      <c r="C8" s="129">
        <v>263</v>
      </c>
      <c r="D8" s="129"/>
      <c r="E8" s="129">
        <v>0</v>
      </c>
      <c r="F8" s="129">
        <v>0</v>
      </c>
      <c r="G8" s="129"/>
      <c r="H8" s="129"/>
      <c r="I8" s="129"/>
      <c r="J8" s="129">
        <v>0</v>
      </c>
      <c r="K8" s="129">
        <v>0</v>
      </c>
      <c r="L8" s="129">
        <v>0</v>
      </c>
      <c r="M8" s="129">
        <v>0</v>
      </c>
      <c r="N8" s="129"/>
      <c r="O8" s="129"/>
      <c r="P8" s="129">
        <v>381</v>
      </c>
      <c r="Q8" s="129">
        <v>0</v>
      </c>
      <c r="R8" s="129">
        <v>0</v>
      </c>
      <c r="S8" s="129">
        <v>0</v>
      </c>
      <c r="T8" s="129">
        <v>0</v>
      </c>
      <c r="U8" s="129">
        <v>0</v>
      </c>
      <c r="V8" s="129">
        <v>0</v>
      </c>
      <c r="W8" s="129"/>
      <c r="X8" s="129"/>
      <c r="Y8" s="160">
        <v>389</v>
      </c>
      <c r="Z8" s="129">
        <v>0</v>
      </c>
      <c r="AA8" s="129">
        <v>0</v>
      </c>
      <c r="AB8" s="129"/>
      <c r="AC8" s="129">
        <v>0</v>
      </c>
      <c r="AD8" s="129">
        <v>0</v>
      </c>
      <c r="AE8" s="129">
        <v>0</v>
      </c>
      <c r="AF8" s="129">
        <v>0</v>
      </c>
      <c r="AG8" s="129">
        <v>0</v>
      </c>
      <c r="AH8" s="129">
        <v>1</v>
      </c>
      <c r="AI8" s="130">
        <v>0</v>
      </c>
      <c r="AJ8" s="538"/>
      <c r="AK8" s="77" t="s">
        <v>217</v>
      </c>
    </row>
    <row r="9" spans="1:37" ht="14.5" x14ac:dyDescent="0.35">
      <c r="A9" s="74"/>
      <c r="B9" s="131" t="s">
        <v>139</v>
      </c>
      <c r="C9" s="129"/>
      <c r="D9" s="129"/>
      <c r="E9" s="129">
        <v>0</v>
      </c>
      <c r="F9" s="129">
        <v>0</v>
      </c>
      <c r="G9" s="129"/>
      <c r="H9" s="129"/>
      <c r="I9" s="129"/>
      <c r="J9" s="129">
        <v>0</v>
      </c>
      <c r="K9" s="129">
        <v>0</v>
      </c>
      <c r="L9" s="129">
        <v>0</v>
      </c>
      <c r="M9" s="129">
        <v>0</v>
      </c>
      <c r="N9" s="129"/>
      <c r="O9" s="129">
        <v>839</v>
      </c>
      <c r="P9" s="129">
        <v>537</v>
      </c>
      <c r="Q9" s="129">
        <v>0</v>
      </c>
      <c r="R9" s="129">
        <v>0</v>
      </c>
      <c r="S9" s="129">
        <v>0</v>
      </c>
      <c r="T9" s="129">
        <v>0</v>
      </c>
      <c r="U9" s="129">
        <v>0</v>
      </c>
      <c r="V9" s="129">
        <v>0</v>
      </c>
      <c r="W9" s="208"/>
      <c r="X9" s="129">
        <v>830</v>
      </c>
      <c r="Y9" s="208"/>
      <c r="Z9" s="129">
        <v>0</v>
      </c>
      <c r="AA9" s="129">
        <v>0</v>
      </c>
      <c r="AB9" s="129">
        <v>794</v>
      </c>
      <c r="AC9" s="129">
        <v>0</v>
      </c>
      <c r="AD9" s="129">
        <v>0</v>
      </c>
      <c r="AE9" s="129">
        <v>0</v>
      </c>
      <c r="AF9" s="129">
        <v>0</v>
      </c>
      <c r="AG9" s="129">
        <v>0</v>
      </c>
      <c r="AH9" s="129">
        <v>0</v>
      </c>
      <c r="AI9" s="130">
        <v>0</v>
      </c>
      <c r="AJ9" s="538"/>
      <c r="AK9" s="77" t="s">
        <v>218</v>
      </c>
    </row>
    <row r="10" spans="1:37" ht="14.5" x14ac:dyDescent="0.35">
      <c r="A10" s="74"/>
      <c r="B10" s="131" t="s">
        <v>65</v>
      </c>
      <c r="C10" s="129">
        <v>0</v>
      </c>
      <c r="D10" s="129">
        <v>0</v>
      </c>
      <c r="E10" s="129">
        <v>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200</v>
      </c>
      <c r="L10" s="129">
        <v>0</v>
      </c>
      <c r="M10" s="129">
        <v>0</v>
      </c>
      <c r="N10" s="129">
        <v>0</v>
      </c>
      <c r="O10" s="129">
        <v>0</v>
      </c>
      <c r="P10" s="129">
        <v>524</v>
      </c>
      <c r="Q10" s="129">
        <v>0</v>
      </c>
      <c r="R10" s="129">
        <v>0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X10" s="129">
        <v>0</v>
      </c>
      <c r="Y10" s="129">
        <v>0</v>
      </c>
      <c r="Z10" s="129">
        <v>0</v>
      </c>
      <c r="AA10" s="129">
        <v>0</v>
      </c>
      <c r="AB10" s="129">
        <v>453</v>
      </c>
      <c r="AC10" s="129">
        <v>0</v>
      </c>
      <c r="AD10" s="129">
        <v>0</v>
      </c>
      <c r="AE10" s="129">
        <v>0</v>
      </c>
      <c r="AF10" s="129">
        <v>0</v>
      </c>
      <c r="AG10" s="129">
        <v>0</v>
      </c>
      <c r="AH10" s="129">
        <v>0</v>
      </c>
      <c r="AI10" s="130">
        <v>0</v>
      </c>
      <c r="AJ10" s="538"/>
      <c r="AK10" s="77" t="s">
        <v>219</v>
      </c>
    </row>
    <row r="11" spans="1:37" ht="14.5" x14ac:dyDescent="0.35">
      <c r="A11" s="74"/>
      <c r="B11" s="131" t="s">
        <v>64</v>
      </c>
      <c r="C11" s="129">
        <v>0</v>
      </c>
      <c r="D11" s="129">
        <v>0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  <c r="J11" s="129">
        <v>200</v>
      </c>
      <c r="K11" s="129">
        <v>0</v>
      </c>
      <c r="L11" s="129">
        <v>0</v>
      </c>
      <c r="M11" s="129">
        <v>0</v>
      </c>
      <c r="N11" s="129">
        <v>0</v>
      </c>
      <c r="O11" s="129">
        <v>797</v>
      </c>
      <c r="P11" s="129">
        <v>587</v>
      </c>
      <c r="Q11" s="129">
        <v>0</v>
      </c>
      <c r="R11" s="129">
        <v>0</v>
      </c>
      <c r="S11" s="129">
        <v>0</v>
      </c>
      <c r="T11" s="129">
        <v>0</v>
      </c>
      <c r="U11" s="129">
        <v>0</v>
      </c>
      <c r="V11" s="129">
        <v>0</v>
      </c>
      <c r="W11" s="129">
        <v>0</v>
      </c>
      <c r="X11" s="129">
        <v>571</v>
      </c>
      <c r="Y11" s="129">
        <v>0</v>
      </c>
      <c r="Z11" s="129">
        <v>0</v>
      </c>
      <c r="AA11" s="129">
        <v>0</v>
      </c>
      <c r="AB11" s="129">
        <v>506</v>
      </c>
      <c r="AC11" s="129">
        <v>0</v>
      </c>
      <c r="AD11" s="129">
        <v>0</v>
      </c>
      <c r="AE11" s="129">
        <v>0</v>
      </c>
      <c r="AF11" s="129">
        <v>0</v>
      </c>
      <c r="AG11" s="129">
        <v>0</v>
      </c>
      <c r="AH11" s="129">
        <v>0</v>
      </c>
      <c r="AI11" s="130">
        <v>0</v>
      </c>
      <c r="AJ11" s="538"/>
    </row>
    <row r="12" spans="1:37" ht="14.5" x14ac:dyDescent="0.35">
      <c r="A12" s="74"/>
      <c r="B12" s="131" t="s">
        <v>69</v>
      </c>
      <c r="C12" s="129">
        <v>0</v>
      </c>
      <c r="D12" s="129">
        <v>0</v>
      </c>
      <c r="E12" s="129">
        <v>0</v>
      </c>
      <c r="F12" s="129">
        <v>0</v>
      </c>
      <c r="G12" s="129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1054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29">
        <v>1</v>
      </c>
      <c r="AA12" s="129">
        <v>0</v>
      </c>
      <c r="AB12" s="129">
        <v>0</v>
      </c>
      <c r="AC12" s="129">
        <v>0</v>
      </c>
      <c r="AD12" s="129">
        <v>0</v>
      </c>
      <c r="AE12" s="129">
        <v>0</v>
      </c>
      <c r="AF12" s="129">
        <v>0</v>
      </c>
      <c r="AG12" s="129">
        <v>0</v>
      </c>
      <c r="AH12" s="129">
        <v>0</v>
      </c>
      <c r="AI12" s="130">
        <v>0</v>
      </c>
      <c r="AJ12" s="538"/>
    </row>
    <row r="13" spans="1:37" ht="14.5" x14ac:dyDescent="0.35">
      <c r="A13" s="74"/>
      <c r="B13" s="131" t="s">
        <v>71</v>
      </c>
      <c r="C13" s="129">
        <v>0</v>
      </c>
      <c r="D13" s="129">
        <v>0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v>0</v>
      </c>
      <c r="Q13" s="129">
        <v>0</v>
      </c>
      <c r="R13" s="129">
        <v>0</v>
      </c>
      <c r="S13" s="129">
        <v>0</v>
      </c>
      <c r="T13" s="129">
        <v>0</v>
      </c>
      <c r="U13" s="129">
        <v>0</v>
      </c>
      <c r="V13" s="129">
        <v>0</v>
      </c>
      <c r="W13" s="129">
        <v>0</v>
      </c>
      <c r="X13" s="129">
        <v>0</v>
      </c>
      <c r="Y13" s="129"/>
      <c r="Z13" s="129">
        <v>0</v>
      </c>
      <c r="AA13" s="129">
        <v>0</v>
      </c>
      <c r="AB13" s="129">
        <v>659</v>
      </c>
      <c r="AC13" s="129">
        <v>0</v>
      </c>
      <c r="AD13" s="129">
        <v>0</v>
      </c>
      <c r="AE13" s="129">
        <v>0</v>
      </c>
      <c r="AF13" s="129">
        <v>0</v>
      </c>
      <c r="AG13" s="129">
        <v>0</v>
      </c>
      <c r="AH13" s="129">
        <v>0</v>
      </c>
      <c r="AI13" s="130">
        <v>0</v>
      </c>
      <c r="AJ13" s="538"/>
    </row>
    <row r="14" spans="1:37" ht="14.5" x14ac:dyDescent="0.35">
      <c r="A14" s="74"/>
      <c r="B14" s="131" t="s">
        <v>46</v>
      </c>
      <c r="C14" s="129"/>
      <c r="D14" s="129">
        <v>260</v>
      </c>
      <c r="E14" s="129">
        <v>0</v>
      </c>
      <c r="F14" s="129">
        <v>0</v>
      </c>
      <c r="G14" s="129">
        <v>491</v>
      </c>
      <c r="H14" s="129"/>
      <c r="I14" s="129"/>
      <c r="J14" s="129">
        <v>0</v>
      </c>
      <c r="K14" s="129">
        <v>0</v>
      </c>
      <c r="L14" s="129">
        <v>1054</v>
      </c>
      <c r="M14" s="129">
        <v>0</v>
      </c>
      <c r="N14" s="129">
        <v>0</v>
      </c>
      <c r="O14" s="129">
        <v>662</v>
      </c>
      <c r="P14" s="129">
        <v>633</v>
      </c>
      <c r="Q14" s="129">
        <v>0</v>
      </c>
      <c r="R14" s="129">
        <v>0</v>
      </c>
      <c r="S14" s="129">
        <v>0</v>
      </c>
      <c r="T14" s="129">
        <v>0</v>
      </c>
      <c r="U14" s="129">
        <v>0</v>
      </c>
      <c r="V14" s="129">
        <v>0</v>
      </c>
      <c r="W14" s="129"/>
      <c r="X14" s="129"/>
      <c r="Y14" s="129"/>
      <c r="Z14" s="129"/>
      <c r="AA14" s="129"/>
      <c r="AB14" s="129"/>
      <c r="AC14" s="129">
        <v>0</v>
      </c>
      <c r="AD14" s="129">
        <v>0</v>
      </c>
      <c r="AE14" s="129">
        <v>0</v>
      </c>
      <c r="AF14" s="129">
        <v>0</v>
      </c>
      <c r="AG14" s="129">
        <v>0</v>
      </c>
      <c r="AH14" s="129">
        <v>0</v>
      </c>
      <c r="AI14" s="130">
        <v>0</v>
      </c>
      <c r="AJ14" s="538"/>
    </row>
    <row r="15" spans="1:37" ht="14.5" x14ac:dyDescent="0.35">
      <c r="A15" s="74"/>
      <c r="B15" s="131" t="s">
        <v>49</v>
      </c>
      <c r="C15" s="129"/>
      <c r="D15" s="129">
        <v>614</v>
      </c>
      <c r="E15" s="129">
        <v>0</v>
      </c>
      <c r="F15" s="129">
        <v>0</v>
      </c>
      <c r="G15" s="129"/>
      <c r="H15" s="129"/>
      <c r="I15" s="129">
        <v>839</v>
      </c>
      <c r="J15" s="129">
        <v>0</v>
      </c>
      <c r="K15" s="129">
        <v>797</v>
      </c>
      <c r="L15" s="129">
        <v>0</v>
      </c>
      <c r="M15" s="129">
        <v>0</v>
      </c>
      <c r="N15" s="129">
        <v>662</v>
      </c>
      <c r="O15" s="208"/>
      <c r="P15" s="208"/>
      <c r="Q15" s="129">
        <v>0</v>
      </c>
      <c r="R15" s="129">
        <v>0</v>
      </c>
      <c r="S15" s="129">
        <v>0</v>
      </c>
      <c r="T15" s="129">
        <v>1</v>
      </c>
      <c r="U15" s="129">
        <v>0</v>
      </c>
      <c r="V15" s="129">
        <v>0</v>
      </c>
      <c r="W15" s="129">
        <v>566</v>
      </c>
      <c r="X15" s="129">
        <v>1287</v>
      </c>
      <c r="Y15" s="129"/>
      <c r="Z15" s="129">
        <v>0</v>
      </c>
      <c r="AA15" s="129">
        <v>0</v>
      </c>
      <c r="AB15" s="129"/>
      <c r="AC15" s="129">
        <v>0</v>
      </c>
      <c r="AD15" s="129">
        <v>0</v>
      </c>
      <c r="AE15" s="129">
        <v>0</v>
      </c>
      <c r="AF15" s="129">
        <v>0</v>
      </c>
      <c r="AG15" s="129">
        <v>0</v>
      </c>
      <c r="AH15" s="129">
        <v>0</v>
      </c>
      <c r="AI15" s="130">
        <v>0</v>
      </c>
      <c r="AJ15" s="538"/>
    </row>
    <row r="16" spans="1:37" ht="14.5" x14ac:dyDescent="0.35">
      <c r="A16" s="74"/>
      <c r="B16" s="131" t="s">
        <v>16</v>
      </c>
      <c r="C16" s="129">
        <v>463</v>
      </c>
      <c r="D16" s="129">
        <v>409</v>
      </c>
      <c r="E16" s="129">
        <v>0</v>
      </c>
      <c r="F16" s="129">
        <v>0</v>
      </c>
      <c r="G16" s="129">
        <v>501</v>
      </c>
      <c r="H16" s="129">
        <v>381</v>
      </c>
      <c r="I16" s="129">
        <v>537</v>
      </c>
      <c r="J16" s="129">
        <v>524</v>
      </c>
      <c r="K16" s="129">
        <v>587</v>
      </c>
      <c r="L16" s="129">
        <v>0</v>
      </c>
      <c r="M16" s="129">
        <v>0</v>
      </c>
      <c r="N16" s="129">
        <v>633</v>
      </c>
      <c r="O16" s="208"/>
      <c r="P16" s="208"/>
      <c r="Q16" s="129">
        <v>0</v>
      </c>
      <c r="R16" s="129">
        <v>0</v>
      </c>
      <c r="S16" s="129">
        <v>0</v>
      </c>
      <c r="T16" s="129">
        <v>0</v>
      </c>
      <c r="U16" s="129">
        <v>0</v>
      </c>
      <c r="V16" s="129">
        <v>0</v>
      </c>
      <c r="W16" s="129">
        <v>366</v>
      </c>
      <c r="X16" s="208">
        <v>1366</v>
      </c>
      <c r="Y16" s="129">
        <v>632</v>
      </c>
      <c r="Z16" s="129">
        <v>0</v>
      </c>
      <c r="AA16" s="129">
        <v>0</v>
      </c>
      <c r="AB16" s="129">
        <v>1298</v>
      </c>
      <c r="AC16" s="129">
        <v>0</v>
      </c>
      <c r="AD16" s="129">
        <v>0</v>
      </c>
      <c r="AE16" s="129">
        <v>0</v>
      </c>
      <c r="AF16" s="129">
        <v>0</v>
      </c>
      <c r="AG16" s="129">
        <v>0</v>
      </c>
      <c r="AH16" s="129">
        <v>0</v>
      </c>
      <c r="AI16" s="130">
        <v>0</v>
      </c>
    </row>
    <row r="17" spans="1:35" ht="14.5" x14ac:dyDescent="0.35">
      <c r="A17" s="74"/>
      <c r="B17" s="131" t="s">
        <v>79</v>
      </c>
      <c r="C17" s="129">
        <v>0</v>
      </c>
      <c r="D17" s="129">
        <v>0</v>
      </c>
      <c r="E17" s="129">
        <v>1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>
        <v>0</v>
      </c>
      <c r="P17" s="129">
        <v>0</v>
      </c>
      <c r="Q17" s="129">
        <v>0</v>
      </c>
      <c r="R17" s="129">
        <v>0</v>
      </c>
      <c r="S17" s="129">
        <v>0</v>
      </c>
      <c r="T17" s="129">
        <v>0</v>
      </c>
      <c r="U17" s="129">
        <v>1</v>
      </c>
      <c r="V17" s="129">
        <v>0</v>
      </c>
      <c r="W17" s="129">
        <v>0</v>
      </c>
      <c r="X17" s="129">
        <v>0</v>
      </c>
      <c r="Y17" s="129">
        <v>0</v>
      </c>
      <c r="Z17" s="129">
        <v>0</v>
      </c>
      <c r="AA17" s="129">
        <v>0</v>
      </c>
      <c r="AB17" s="129">
        <v>0</v>
      </c>
      <c r="AC17" s="129">
        <v>0</v>
      </c>
      <c r="AD17" s="129">
        <v>0</v>
      </c>
      <c r="AE17" s="129">
        <v>0</v>
      </c>
      <c r="AF17" s="129">
        <v>0</v>
      </c>
      <c r="AG17" s="129">
        <v>0</v>
      </c>
      <c r="AH17" s="129">
        <v>0</v>
      </c>
      <c r="AI17" s="130">
        <v>0</v>
      </c>
    </row>
    <row r="18" spans="1:35" ht="14.5" x14ac:dyDescent="0.35">
      <c r="A18" s="74"/>
      <c r="B18" s="131" t="s">
        <v>81</v>
      </c>
      <c r="C18" s="129">
        <v>0</v>
      </c>
      <c r="D18" s="129">
        <v>0</v>
      </c>
      <c r="E18" s="129">
        <v>0</v>
      </c>
      <c r="F18" s="129">
        <v>1</v>
      </c>
      <c r="G18" s="129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>
        <v>0</v>
      </c>
      <c r="P18" s="129">
        <v>0</v>
      </c>
      <c r="Q18" s="129">
        <v>0</v>
      </c>
      <c r="R18" s="129">
        <v>0</v>
      </c>
      <c r="S18" s="129">
        <v>1</v>
      </c>
      <c r="T18" s="129">
        <v>0</v>
      </c>
      <c r="U18" s="129">
        <v>0</v>
      </c>
      <c r="V18" s="129">
        <v>0</v>
      </c>
      <c r="W18" s="129">
        <v>0</v>
      </c>
      <c r="X18" s="129">
        <v>0</v>
      </c>
      <c r="Y18" s="129">
        <v>0</v>
      </c>
      <c r="Z18" s="129">
        <v>0</v>
      </c>
      <c r="AA18" s="129">
        <v>0</v>
      </c>
      <c r="AB18" s="129">
        <v>0</v>
      </c>
      <c r="AC18" s="129">
        <v>0</v>
      </c>
      <c r="AD18" s="129">
        <v>0</v>
      </c>
      <c r="AE18" s="129">
        <v>0</v>
      </c>
      <c r="AF18" s="129">
        <v>0</v>
      </c>
      <c r="AG18" s="129">
        <v>1</v>
      </c>
      <c r="AH18" s="129">
        <v>0</v>
      </c>
      <c r="AI18" s="130">
        <v>1</v>
      </c>
    </row>
    <row r="19" spans="1:35" ht="14.5" x14ac:dyDescent="0.35">
      <c r="A19" s="74"/>
      <c r="B19" s="131" t="s">
        <v>78</v>
      </c>
      <c r="C19" s="129">
        <v>434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0</v>
      </c>
      <c r="R19" s="129">
        <v>1</v>
      </c>
      <c r="S19" s="129">
        <v>0</v>
      </c>
      <c r="T19" s="129">
        <v>0</v>
      </c>
      <c r="U19" s="129">
        <v>0</v>
      </c>
      <c r="V19" s="129">
        <v>0</v>
      </c>
      <c r="W19" s="129">
        <v>0</v>
      </c>
      <c r="X19" s="129">
        <v>0</v>
      </c>
      <c r="Y19" s="129">
        <v>0</v>
      </c>
      <c r="Z19" s="129">
        <v>0</v>
      </c>
      <c r="AA19" s="129">
        <v>612</v>
      </c>
      <c r="AB19" s="129">
        <v>0</v>
      </c>
      <c r="AC19" s="129">
        <v>0</v>
      </c>
      <c r="AD19" s="129">
        <v>0</v>
      </c>
      <c r="AE19" s="129">
        <v>0</v>
      </c>
      <c r="AF19" s="129">
        <v>0</v>
      </c>
      <c r="AG19" s="129">
        <v>1</v>
      </c>
      <c r="AH19" s="129">
        <v>1</v>
      </c>
      <c r="AI19" s="130">
        <v>0</v>
      </c>
    </row>
    <row r="20" spans="1:35" ht="14.5" x14ac:dyDescent="0.35">
      <c r="A20" s="74"/>
      <c r="B20" s="131" t="s">
        <v>67</v>
      </c>
      <c r="C20" s="129">
        <v>0</v>
      </c>
      <c r="D20" s="129">
        <v>0</v>
      </c>
      <c r="E20" s="129">
        <v>0</v>
      </c>
      <c r="F20" s="129">
        <v>0</v>
      </c>
      <c r="G20" s="129">
        <v>0</v>
      </c>
      <c r="H20" s="129">
        <v>0</v>
      </c>
      <c r="I20" s="129">
        <v>0</v>
      </c>
      <c r="J20" s="129">
        <v>0</v>
      </c>
      <c r="K20" s="129">
        <v>0</v>
      </c>
      <c r="L20" s="129">
        <v>0</v>
      </c>
      <c r="M20" s="129">
        <v>0</v>
      </c>
      <c r="N20" s="129">
        <v>0</v>
      </c>
      <c r="O20" s="129">
        <v>1</v>
      </c>
      <c r="P20" s="129">
        <v>0</v>
      </c>
      <c r="Q20" s="129">
        <v>0</v>
      </c>
      <c r="R20" s="129">
        <v>0</v>
      </c>
      <c r="S20" s="129">
        <v>0</v>
      </c>
      <c r="T20" s="129">
        <v>0</v>
      </c>
      <c r="U20" s="129">
        <v>0</v>
      </c>
      <c r="V20" s="129">
        <v>0</v>
      </c>
      <c r="W20" s="129">
        <v>0</v>
      </c>
      <c r="X20" s="129">
        <v>0</v>
      </c>
      <c r="Y20" s="129">
        <v>0</v>
      </c>
      <c r="Z20" s="129">
        <v>0</v>
      </c>
      <c r="AA20" s="129">
        <v>1</v>
      </c>
      <c r="AB20" s="129">
        <v>0</v>
      </c>
      <c r="AC20" s="129">
        <v>0</v>
      </c>
      <c r="AD20" s="129">
        <v>0</v>
      </c>
      <c r="AE20" s="129">
        <v>0</v>
      </c>
      <c r="AF20" s="129">
        <v>0</v>
      </c>
      <c r="AG20" s="129">
        <v>0</v>
      </c>
      <c r="AH20" s="129">
        <v>0</v>
      </c>
      <c r="AI20" s="130">
        <v>0</v>
      </c>
    </row>
    <row r="21" spans="1:35" ht="14.5" x14ac:dyDescent="0.35">
      <c r="A21" s="74"/>
      <c r="B21" s="131" t="s">
        <v>85</v>
      </c>
      <c r="C21" s="129">
        <v>0</v>
      </c>
      <c r="D21" s="129">
        <v>0</v>
      </c>
      <c r="E21" s="129">
        <v>1</v>
      </c>
      <c r="F21" s="129">
        <v>0</v>
      </c>
      <c r="G21" s="129">
        <v>0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  <c r="P21" s="129">
        <v>0</v>
      </c>
      <c r="Q21" s="129">
        <v>1</v>
      </c>
      <c r="R21" s="129">
        <v>0</v>
      </c>
      <c r="S21" s="129">
        <v>0</v>
      </c>
      <c r="T21" s="129">
        <v>0</v>
      </c>
      <c r="U21" s="129">
        <v>0</v>
      </c>
      <c r="V21" s="129">
        <v>0</v>
      </c>
      <c r="W21" s="129">
        <v>0</v>
      </c>
      <c r="X21" s="129">
        <v>0</v>
      </c>
      <c r="Y21" s="129">
        <v>0</v>
      </c>
      <c r="Z21" s="129">
        <v>0</v>
      </c>
      <c r="AA21" s="129">
        <v>0</v>
      </c>
      <c r="AB21" s="129">
        <v>0</v>
      </c>
      <c r="AC21" s="129">
        <v>0</v>
      </c>
      <c r="AD21" s="129">
        <v>0</v>
      </c>
      <c r="AE21" s="129">
        <v>0</v>
      </c>
      <c r="AF21" s="129">
        <v>0</v>
      </c>
      <c r="AG21" s="129">
        <v>1</v>
      </c>
      <c r="AH21" s="129">
        <v>0</v>
      </c>
      <c r="AI21" s="130">
        <v>0</v>
      </c>
    </row>
    <row r="22" spans="1:35" ht="14.5" x14ac:dyDescent="0.35">
      <c r="A22" s="74"/>
      <c r="B22" s="131" t="s">
        <v>84</v>
      </c>
      <c r="C22" s="129"/>
      <c r="D22" s="129">
        <v>0</v>
      </c>
      <c r="E22" s="129">
        <v>0</v>
      </c>
      <c r="F22" s="129">
        <v>1</v>
      </c>
      <c r="G22" s="129">
        <v>0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  <c r="P22" s="129">
        <v>0</v>
      </c>
      <c r="Q22" s="129">
        <v>0</v>
      </c>
      <c r="R22" s="129">
        <v>0</v>
      </c>
      <c r="S22" s="129">
        <v>0</v>
      </c>
      <c r="T22" s="129">
        <v>0</v>
      </c>
      <c r="U22" s="129">
        <v>0</v>
      </c>
      <c r="V22" s="129">
        <v>0</v>
      </c>
      <c r="W22" s="129">
        <v>0</v>
      </c>
      <c r="X22" s="129">
        <v>0</v>
      </c>
      <c r="Y22" s="129">
        <v>0</v>
      </c>
      <c r="Z22" s="129">
        <v>0</v>
      </c>
      <c r="AA22" s="129">
        <v>0</v>
      </c>
      <c r="AB22" s="129">
        <v>0</v>
      </c>
      <c r="AC22" s="129">
        <v>0</v>
      </c>
      <c r="AD22" s="129">
        <v>0</v>
      </c>
      <c r="AE22" s="129">
        <v>0</v>
      </c>
      <c r="AF22" s="129">
        <v>0</v>
      </c>
      <c r="AG22" s="129">
        <v>1</v>
      </c>
      <c r="AH22" s="129">
        <v>0</v>
      </c>
      <c r="AI22" s="130">
        <v>0</v>
      </c>
    </row>
    <row r="23" spans="1:35" ht="14.5" x14ac:dyDescent="0.35">
      <c r="A23" s="74"/>
      <c r="B23" s="131" t="s">
        <v>44</v>
      </c>
      <c r="C23" s="129"/>
      <c r="D23" s="129">
        <v>176</v>
      </c>
      <c r="E23" s="129">
        <v>0</v>
      </c>
      <c r="F23" s="129">
        <v>0</v>
      </c>
      <c r="G23" s="129"/>
      <c r="H23" s="129"/>
      <c r="I23" s="208"/>
      <c r="J23" s="129">
        <v>0</v>
      </c>
      <c r="K23" s="129">
        <v>0</v>
      </c>
      <c r="L23" s="129">
        <v>0</v>
      </c>
      <c r="M23" s="129">
        <v>0</v>
      </c>
      <c r="N23" s="129"/>
      <c r="O23" s="129">
        <v>566</v>
      </c>
      <c r="P23" s="129">
        <v>366</v>
      </c>
      <c r="Q23" s="129">
        <v>0</v>
      </c>
      <c r="R23" s="129">
        <v>0</v>
      </c>
      <c r="S23" s="129">
        <v>0</v>
      </c>
      <c r="T23" s="129">
        <v>0</v>
      </c>
      <c r="U23" s="129">
        <v>0</v>
      </c>
      <c r="V23" s="129">
        <v>0</v>
      </c>
      <c r="W23" s="129">
        <v>0</v>
      </c>
      <c r="X23" s="129">
        <v>1289</v>
      </c>
      <c r="Y23" s="129"/>
      <c r="Z23" s="129">
        <v>0</v>
      </c>
      <c r="AA23" s="129">
        <v>0</v>
      </c>
      <c r="AB23" s="129"/>
      <c r="AC23" s="129">
        <v>0</v>
      </c>
      <c r="AD23" s="129">
        <v>0</v>
      </c>
      <c r="AE23" s="129">
        <v>0</v>
      </c>
      <c r="AF23" s="129">
        <v>0</v>
      </c>
      <c r="AG23" s="129">
        <v>0</v>
      </c>
      <c r="AH23" s="129">
        <v>0</v>
      </c>
      <c r="AI23" s="130">
        <v>0</v>
      </c>
    </row>
    <row r="24" spans="1:35" ht="14.5" x14ac:dyDescent="0.35">
      <c r="A24" s="74"/>
      <c r="B24" s="131" t="s">
        <v>47</v>
      </c>
      <c r="C24" s="129"/>
      <c r="D24" s="129"/>
      <c r="E24" s="129">
        <v>0</v>
      </c>
      <c r="F24" s="129">
        <v>0</v>
      </c>
      <c r="G24" s="129"/>
      <c r="H24" s="129"/>
      <c r="I24" s="129">
        <v>830</v>
      </c>
      <c r="J24" s="129">
        <v>0</v>
      </c>
      <c r="K24" s="129">
        <v>571</v>
      </c>
      <c r="L24" s="129">
        <v>0</v>
      </c>
      <c r="M24" s="129">
        <v>0</v>
      </c>
      <c r="N24" s="129"/>
      <c r="O24" s="129">
        <v>1287</v>
      </c>
      <c r="P24" s="208">
        <v>1366</v>
      </c>
      <c r="Q24" s="129">
        <v>0</v>
      </c>
      <c r="R24" s="129">
        <v>0</v>
      </c>
      <c r="S24" s="129">
        <v>0</v>
      </c>
      <c r="T24" s="129">
        <v>0</v>
      </c>
      <c r="U24" s="129">
        <v>0</v>
      </c>
      <c r="V24" s="129">
        <v>0</v>
      </c>
      <c r="W24" s="129">
        <v>1289</v>
      </c>
      <c r="X24" s="129"/>
      <c r="Y24" s="129"/>
      <c r="Z24" s="129">
        <v>0</v>
      </c>
      <c r="AA24" s="129">
        <v>0</v>
      </c>
      <c r="AB24" s="129">
        <v>321</v>
      </c>
      <c r="AC24" s="129">
        <v>0</v>
      </c>
      <c r="AD24" s="129">
        <v>0</v>
      </c>
      <c r="AE24" s="129">
        <v>0</v>
      </c>
      <c r="AF24" s="129">
        <v>0</v>
      </c>
      <c r="AG24" s="129">
        <v>0</v>
      </c>
      <c r="AH24" s="129">
        <v>0</v>
      </c>
      <c r="AI24" s="130">
        <v>0</v>
      </c>
    </row>
    <row r="25" spans="1:35" ht="14.5" x14ac:dyDescent="0.35">
      <c r="A25" s="74"/>
      <c r="B25" s="131" t="s">
        <v>43</v>
      </c>
      <c r="C25" s="129"/>
      <c r="D25" s="129"/>
      <c r="E25" s="129">
        <v>0</v>
      </c>
      <c r="F25" s="129">
        <v>0</v>
      </c>
      <c r="G25" s="129"/>
      <c r="H25" s="160">
        <v>389</v>
      </c>
      <c r="I25" s="208"/>
      <c r="J25" s="129">
        <v>0</v>
      </c>
      <c r="K25" s="129">
        <v>0</v>
      </c>
      <c r="L25" s="129">
        <v>0</v>
      </c>
      <c r="M25" s="129"/>
      <c r="N25" s="129"/>
      <c r="O25" s="129"/>
      <c r="P25" s="129">
        <v>632</v>
      </c>
      <c r="Q25" s="129">
        <v>0</v>
      </c>
      <c r="R25" s="129">
        <v>0</v>
      </c>
      <c r="S25" s="129">
        <v>0</v>
      </c>
      <c r="T25" s="129">
        <v>0</v>
      </c>
      <c r="U25" s="129">
        <v>0</v>
      </c>
      <c r="V25" s="129">
        <v>0</v>
      </c>
      <c r="W25" s="129"/>
      <c r="X25" s="129"/>
      <c r="Y25" s="129"/>
      <c r="Z25" s="129">
        <v>0</v>
      </c>
      <c r="AA25" s="129">
        <v>0</v>
      </c>
      <c r="AB25" s="160">
        <v>1164</v>
      </c>
      <c r="AC25" s="129">
        <v>0</v>
      </c>
      <c r="AD25" s="129">
        <v>0</v>
      </c>
      <c r="AE25" s="129">
        <v>0</v>
      </c>
      <c r="AF25" s="129">
        <v>0</v>
      </c>
      <c r="AG25" s="129">
        <v>0</v>
      </c>
      <c r="AH25" s="129">
        <v>1</v>
      </c>
      <c r="AI25" s="130">
        <v>0</v>
      </c>
    </row>
    <row r="26" spans="1:35" ht="14.5" x14ac:dyDescent="0.35">
      <c r="A26" s="74"/>
      <c r="B26" s="131" t="s">
        <v>68</v>
      </c>
      <c r="C26" s="129"/>
      <c r="D26" s="129"/>
      <c r="E26" s="129">
        <v>0</v>
      </c>
      <c r="F26" s="129">
        <v>0</v>
      </c>
      <c r="G26" s="129"/>
      <c r="H26" s="129">
        <v>0</v>
      </c>
      <c r="I26" s="129">
        <v>0</v>
      </c>
      <c r="J26" s="129">
        <v>0</v>
      </c>
      <c r="K26" s="129">
        <v>0</v>
      </c>
      <c r="L26" s="129">
        <v>1</v>
      </c>
      <c r="M26" s="129">
        <v>0</v>
      </c>
      <c r="N26" s="129"/>
      <c r="O26" s="129">
        <v>0</v>
      </c>
      <c r="P26" s="129">
        <v>0</v>
      </c>
      <c r="Q26" s="129">
        <v>0</v>
      </c>
      <c r="R26" s="129">
        <v>0</v>
      </c>
      <c r="S26" s="129">
        <v>0</v>
      </c>
      <c r="T26" s="129">
        <v>0</v>
      </c>
      <c r="U26" s="129">
        <v>0</v>
      </c>
      <c r="V26" s="129">
        <v>0</v>
      </c>
      <c r="W26" s="129">
        <v>0</v>
      </c>
      <c r="X26" s="129">
        <v>0</v>
      </c>
      <c r="Y26" s="129">
        <v>0</v>
      </c>
      <c r="Z26" s="129">
        <v>0</v>
      </c>
      <c r="AA26" s="129">
        <v>0</v>
      </c>
      <c r="AB26" s="129">
        <v>0</v>
      </c>
      <c r="AC26" s="129">
        <v>0</v>
      </c>
      <c r="AD26" s="129">
        <v>0</v>
      </c>
      <c r="AE26" s="129">
        <v>0</v>
      </c>
      <c r="AF26" s="129">
        <v>0</v>
      </c>
      <c r="AG26" s="129">
        <v>0</v>
      </c>
      <c r="AH26" s="129">
        <v>0</v>
      </c>
      <c r="AI26" s="130">
        <v>0</v>
      </c>
    </row>
    <row r="27" spans="1:35" ht="14.5" x14ac:dyDescent="0.35">
      <c r="A27" s="74"/>
      <c r="B27" s="131" t="s">
        <v>80</v>
      </c>
      <c r="C27" s="129"/>
      <c r="D27" s="129"/>
      <c r="E27" s="129">
        <v>1</v>
      </c>
      <c r="F27" s="129">
        <v>0</v>
      </c>
      <c r="G27" s="129"/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M27" s="129">
        <v>0</v>
      </c>
      <c r="N27" s="129"/>
      <c r="O27" s="129">
        <v>0</v>
      </c>
      <c r="P27" s="129">
        <v>0</v>
      </c>
      <c r="Q27" s="129">
        <v>0</v>
      </c>
      <c r="R27" s="129">
        <v>0</v>
      </c>
      <c r="S27" s="129">
        <v>1</v>
      </c>
      <c r="T27" s="129">
        <v>0</v>
      </c>
      <c r="U27" s="129">
        <v>0</v>
      </c>
      <c r="V27" s="129">
        <v>0</v>
      </c>
      <c r="W27" s="129">
        <v>0</v>
      </c>
      <c r="X27" s="129">
        <v>0</v>
      </c>
      <c r="Y27" s="129">
        <v>0</v>
      </c>
      <c r="Z27" s="129">
        <v>0</v>
      </c>
      <c r="AA27" s="129">
        <v>0</v>
      </c>
      <c r="AB27" s="129">
        <v>0</v>
      </c>
      <c r="AC27" s="129">
        <v>0</v>
      </c>
      <c r="AD27" s="129">
        <v>0</v>
      </c>
      <c r="AE27" s="129">
        <v>0</v>
      </c>
      <c r="AF27" s="129">
        <v>0</v>
      </c>
      <c r="AG27" s="129">
        <v>1</v>
      </c>
      <c r="AH27" s="129">
        <v>0</v>
      </c>
      <c r="AI27" s="130">
        <v>0</v>
      </c>
    </row>
    <row r="28" spans="1:35" ht="14.5" x14ac:dyDescent="0.35">
      <c r="A28" s="74"/>
      <c r="B28" s="131" t="s">
        <v>26</v>
      </c>
      <c r="C28" s="129"/>
      <c r="D28" s="129"/>
      <c r="E28" s="129">
        <v>0</v>
      </c>
      <c r="F28" s="129">
        <v>0</v>
      </c>
      <c r="G28" s="129"/>
      <c r="H28" s="129"/>
      <c r="I28" s="129">
        <v>794</v>
      </c>
      <c r="J28" s="129">
        <v>453</v>
      </c>
      <c r="K28" s="129">
        <v>506</v>
      </c>
      <c r="L28" s="129">
        <v>0</v>
      </c>
      <c r="M28" s="129">
        <v>659</v>
      </c>
      <c r="N28" s="129"/>
      <c r="O28" s="129"/>
      <c r="P28" s="129">
        <v>1298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W28" s="129"/>
      <c r="X28" s="129">
        <v>321</v>
      </c>
      <c r="Y28" s="160">
        <v>1164</v>
      </c>
      <c r="Z28" s="129">
        <v>0</v>
      </c>
      <c r="AA28" s="129">
        <v>0</v>
      </c>
      <c r="AB28" s="129">
        <v>0</v>
      </c>
      <c r="AC28" s="129">
        <v>0</v>
      </c>
      <c r="AD28" s="129">
        <v>0</v>
      </c>
      <c r="AE28" s="129">
        <v>0</v>
      </c>
      <c r="AF28" s="129">
        <v>0</v>
      </c>
      <c r="AG28" s="129">
        <v>0</v>
      </c>
      <c r="AH28" s="129">
        <v>0</v>
      </c>
      <c r="AI28" s="130">
        <v>0</v>
      </c>
    </row>
    <row r="29" spans="1:35" ht="14.5" x14ac:dyDescent="0.35">
      <c r="A29" s="74"/>
      <c r="B29" s="131" t="s">
        <v>157</v>
      </c>
      <c r="C29" s="129">
        <v>0</v>
      </c>
      <c r="D29" s="129">
        <v>0</v>
      </c>
      <c r="E29" s="129">
        <v>0</v>
      </c>
      <c r="F29" s="129">
        <v>0</v>
      </c>
      <c r="G29" s="129">
        <v>0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M29" s="129">
        <v>0</v>
      </c>
      <c r="N29" s="129">
        <v>0</v>
      </c>
      <c r="O29" s="129">
        <v>0</v>
      </c>
      <c r="P29" s="129">
        <v>0</v>
      </c>
      <c r="Q29" s="129">
        <v>0</v>
      </c>
      <c r="R29" s="129">
        <v>0</v>
      </c>
      <c r="S29" s="129">
        <v>0</v>
      </c>
      <c r="T29" s="129">
        <v>0</v>
      </c>
      <c r="U29" s="129">
        <v>0</v>
      </c>
      <c r="V29" s="129">
        <v>0</v>
      </c>
      <c r="W29" s="129">
        <v>0</v>
      </c>
      <c r="X29" s="129">
        <v>0</v>
      </c>
      <c r="Y29" s="129">
        <v>0</v>
      </c>
      <c r="Z29" s="129">
        <v>0</v>
      </c>
      <c r="AA29" s="129">
        <v>0</v>
      </c>
      <c r="AB29" s="129">
        <v>0</v>
      </c>
      <c r="AC29" s="129">
        <v>0</v>
      </c>
      <c r="AD29" s="129">
        <v>0</v>
      </c>
      <c r="AE29" s="129">
        <v>0</v>
      </c>
      <c r="AF29" s="129">
        <v>0</v>
      </c>
      <c r="AG29" s="129">
        <v>0</v>
      </c>
      <c r="AH29" s="129">
        <v>0</v>
      </c>
      <c r="AI29" s="130">
        <v>0</v>
      </c>
    </row>
    <row r="30" spans="1:35" ht="14.5" x14ac:dyDescent="0.35">
      <c r="A30" s="74"/>
      <c r="B30" s="131" t="s">
        <v>158</v>
      </c>
      <c r="C30" s="129">
        <v>0</v>
      </c>
      <c r="D30" s="129">
        <v>0</v>
      </c>
      <c r="E30" s="129">
        <v>0</v>
      </c>
      <c r="F30" s="129">
        <v>0</v>
      </c>
      <c r="G30" s="129">
        <v>0</v>
      </c>
      <c r="H30" s="129">
        <v>0</v>
      </c>
      <c r="I30" s="129">
        <v>0</v>
      </c>
      <c r="J30" s="129">
        <v>0</v>
      </c>
      <c r="K30" s="129">
        <v>0</v>
      </c>
      <c r="L30" s="129">
        <v>0</v>
      </c>
      <c r="M30" s="129">
        <v>0</v>
      </c>
      <c r="N30" s="129">
        <v>0</v>
      </c>
      <c r="O30" s="129">
        <v>0</v>
      </c>
      <c r="P30" s="129">
        <v>0</v>
      </c>
      <c r="Q30" s="129">
        <v>0</v>
      </c>
      <c r="R30" s="129">
        <v>0</v>
      </c>
      <c r="S30" s="129">
        <v>0</v>
      </c>
      <c r="T30" s="129">
        <v>0</v>
      </c>
      <c r="U30" s="129">
        <v>0</v>
      </c>
      <c r="V30" s="129">
        <v>0</v>
      </c>
      <c r="W30" s="129">
        <v>0</v>
      </c>
      <c r="X30" s="129">
        <v>0</v>
      </c>
      <c r="Y30" s="129">
        <v>0</v>
      </c>
      <c r="Z30" s="129">
        <v>0</v>
      </c>
      <c r="AA30" s="129">
        <v>0</v>
      </c>
      <c r="AB30" s="129">
        <v>0</v>
      </c>
      <c r="AC30" s="129">
        <v>0</v>
      </c>
      <c r="AD30" s="129">
        <v>0</v>
      </c>
      <c r="AE30" s="129">
        <v>0</v>
      </c>
      <c r="AF30" s="129">
        <v>0</v>
      </c>
      <c r="AG30" s="129">
        <v>0</v>
      </c>
      <c r="AH30" s="129">
        <v>0</v>
      </c>
      <c r="AI30" s="130">
        <v>0</v>
      </c>
    </row>
    <row r="31" spans="1:35" ht="14.5" x14ac:dyDescent="0.35">
      <c r="A31" s="74"/>
      <c r="B31" s="131" t="s">
        <v>159</v>
      </c>
      <c r="C31" s="129">
        <v>0</v>
      </c>
      <c r="D31" s="129">
        <v>0</v>
      </c>
      <c r="E31" s="129">
        <v>0</v>
      </c>
      <c r="F31" s="129">
        <v>0</v>
      </c>
      <c r="G31" s="129">
        <v>0</v>
      </c>
      <c r="H31" s="129">
        <v>0</v>
      </c>
      <c r="I31" s="129">
        <v>0</v>
      </c>
      <c r="J31" s="129">
        <v>0</v>
      </c>
      <c r="K31" s="129">
        <v>0</v>
      </c>
      <c r="L31" s="129">
        <v>0</v>
      </c>
      <c r="M31" s="129">
        <v>0</v>
      </c>
      <c r="N31" s="129">
        <v>0</v>
      </c>
      <c r="O31" s="129">
        <v>0</v>
      </c>
      <c r="P31" s="129">
        <v>0</v>
      </c>
      <c r="Q31" s="129">
        <v>0</v>
      </c>
      <c r="R31" s="129">
        <v>0</v>
      </c>
      <c r="S31" s="129">
        <v>0</v>
      </c>
      <c r="T31" s="129">
        <v>0</v>
      </c>
      <c r="U31" s="129">
        <v>0</v>
      </c>
      <c r="V31" s="129">
        <v>0</v>
      </c>
      <c r="W31" s="129">
        <v>0</v>
      </c>
      <c r="X31" s="129">
        <v>0</v>
      </c>
      <c r="Y31" s="129">
        <v>0</v>
      </c>
      <c r="Z31" s="129">
        <v>0</v>
      </c>
      <c r="AA31" s="129">
        <v>0</v>
      </c>
      <c r="AB31" s="129">
        <v>0</v>
      </c>
      <c r="AC31" s="129">
        <v>0</v>
      </c>
      <c r="AD31" s="129">
        <v>0</v>
      </c>
      <c r="AE31" s="129">
        <v>0</v>
      </c>
      <c r="AF31" s="129">
        <v>0</v>
      </c>
      <c r="AG31" s="129">
        <v>0</v>
      </c>
      <c r="AH31" s="129">
        <v>0</v>
      </c>
      <c r="AI31" s="130">
        <v>0</v>
      </c>
    </row>
    <row r="32" spans="1:35" ht="14.5" x14ac:dyDescent="0.35">
      <c r="A32" s="74"/>
      <c r="B32" s="131" t="s">
        <v>160</v>
      </c>
      <c r="C32" s="129">
        <v>0</v>
      </c>
      <c r="D32" s="129">
        <v>0</v>
      </c>
      <c r="E32" s="129">
        <v>0</v>
      </c>
      <c r="F32" s="129">
        <v>0</v>
      </c>
      <c r="G32" s="129">
        <v>0</v>
      </c>
      <c r="H32" s="129">
        <v>0</v>
      </c>
      <c r="I32" s="129">
        <v>0</v>
      </c>
      <c r="J32" s="129">
        <v>0</v>
      </c>
      <c r="K32" s="129">
        <v>0</v>
      </c>
      <c r="L32" s="129">
        <v>0</v>
      </c>
      <c r="M32" s="129">
        <v>0</v>
      </c>
      <c r="N32" s="129">
        <v>0</v>
      </c>
      <c r="O32" s="129">
        <v>0</v>
      </c>
      <c r="P32" s="129">
        <v>0</v>
      </c>
      <c r="Q32" s="129">
        <v>0</v>
      </c>
      <c r="R32" s="129">
        <v>0</v>
      </c>
      <c r="S32" s="129">
        <v>0</v>
      </c>
      <c r="T32" s="129">
        <v>0</v>
      </c>
      <c r="U32" s="129">
        <v>0</v>
      </c>
      <c r="V32" s="129">
        <v>0</v>
      </c>
      <c r="W32" s="129">
        <v>0</v>
      </c>
      <c r="X32" s="129">
        <v>0</v>
      </c>
      <c r="Y32" s="129">
        <v>0</v>
      </c>
      <c r="Z32" s="129">
        <v>0</v>
      </c>
      <c r="AA32" s="129">
        <v>0</v>
      </c>
      <c r="AB32" s="129">
        <v>0</v>
      </c>
      <c r="AC32" s="129">
        <v>0</v>
      </c>
      <c r="AD32" s="129">
        <v>0</v>
      </c>
      <c r="AE32" s="129">
        <v>0</v>
      </c>
      <c r="AF32" s="129">
        <v>0</v>
      </c>
      <c r="AG32" s="129">
        <v>0</v>
      </c>
      <c r="AH32" s="129">
        <v>0</v>
      </c>
      <c r="AI32" s="130">
        <v>0</v>
      </c>
    </row>
    <row r="33" spans="1:35" ht="14.5" x14ac:dyDescent="0.35">
      <c r="A33" s="74"/>
      <c r="B33" s="131" t="s">
        <v>83</v>
      </c>
      <c r="C33" s="129">
        <v>0</v>
      </c>
      <c r="D33" s="129">
        <v>0</v>
      </c>
      <c r="E33" s="129">
        <v>1</v>
      </c>
      <c r="F33" s="129">
        <v>1</v>
      </c>
      <c r="G33" s="129">
        <v>0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M33" s="129">
        <v>0</v>
      </c>
      <c r="N33" s="129">
        <v>0</v>
      </c>
      <c r="O33" s="129">
        <v>0</v>
      </c>
      <c r="P33" s="129">
        <v>0</v>
      </c>
      <c r="Q33" s="129">
        <v>0</v>
      </c>
      <c r="R33" s="129">
        <v>1</v>
      </c>
      <c r="S33" s="129">
        <v>1</v>
      </c>
      <c r="T33" s="129">
        <v>0</v>
      </c>
      <c r="U33" s="129">
        <v>1</v>
      </c>
      <c r="V33" s="129">
        <v>1</v>
      </c>
      <c r="W33" s="129">
        <v>0</v>
      </c>
      <c r="X33" s="129">
        <v>0</v>
      </c>
      <c r="Y33" s="129">
        <v>0</v>
      </c>
      <c r="Z33" s="129">
        <v>0</v>
      </c>
      <c r="AA33" s="129">
        <v>1</v>
      </c>
      <c r="AB33" s="129">
        <v>0</v>
      </c>
      <c r="AC33" s="129">
        <v>0</v>
      </c>
      <c r="AD33" s="129">
        <v>0</v>
      </c>
      <c r="AE33" s="129">
        <v>0</v>
      </c>
      <c r="AF33" s="129">
        <v>0</v>
      </c>
      <c r="AG33" s="129">
        <v>0</v>
      </c>
      <c r="AH33" s="129">
        <v>0</v>
      </c>
      <c r="AI33" s="130">
        <v>0</v>
      </c>
    </row>
    <row r="34" spans="1:35" ht="14.5" x14ac:dyDescent="0.35">
      <c r="A34" s="74"/>
      <c r="B34" s="131" t="s">
        <v>77</v>
      </c>
      <c r="C34" s="129">
        <v>0</v>
      </c>
      <c r="D34" s="129">
        <v>0</v>
      </c>
      <c r="E34" s="129">
        <v>0</v>
      </c>
      <c r="F34" s="129">
        <v>0</v>
      </c>
      <c r="G34" s="129">
        <v>0</v>
      </c>
      <c r="H34" s="129">
        <v>1</v>
      </c>
      <c r="I34" s="129">
        <v>0</v>
      </c>
      <c r="J34" s="129">
        <v>0</v>
      </c>
      <c r="K34" s="129">
        <v>0</v>
      </c>
      <c r="L34" s="129">
        <v>0</v>
      </c>
      <c r="M34" s="129">
        <v>0</v>
      </c>
      <c r="N34" s="129">
        <v>0</v>
      </c>
      <c r="O34" s="129">
        <v>0</v>
      </c>
      <c r="P34" s="129">
        <v>0</v>
      </c>
      <c r="Q34" s="129">
        <v>0</v>
      </c>
      <c r="R34" s="129">
        <v>0</v>
      </c>
      <c r="S34" s="129">
        <v>1</v>
      </c>
      <c r="T34" s="129">
        <v>0</v>
      </c>
      <c r="U34" s="129">
        <v>0</v>
      </c>
      <c r="V34" s="129">
        <v>0</v>
      </c>
      <c r="W34" s="129">
        <v>0</v>
      </c>
      <c r="X34" s="129">
        <v>0</v>
      </c>
      <c r="Y34" s="129">
        <v>1</v>
      </c>
      <c r="Z34" s="129">
        <v>0</v>
      </c>
      <c r="AA34" s="129">
        <v>0</v>
      </c>
      <c r="AB34" s="129">
        <v>0</v>
      </c>
      <c r="AC34" s="129">
        <v>0</v>
      </c>
      <c r="AD34" s="129">
        <v>0</v>
      </c>
      <c r="AE34" s="129">
        <v>0</v>
      </c>
      <c r="AF34" s="129">
        <v>0</v>
      </c>
      <c r="AG34" s="129">
        <v>0</v>
      </c>
      <c r="AH34" s="129">
        <v>0</v>
      </c>
      <c r="AI34" s="130">
        <v>0</v>
      </c>
    </row>
    <row r="35" spans="1:35" ht="14.5" x14ac:dyDescent="0.35">
      <c r="A35" s="74"/>
      <c r="B35" s="132" t="s">
        <v>75</v>
      </c>
      <c r="C35" s="133">
        <v>1</v>
      </c>
      <c r="D35" s="133">
        <v>0</v>
      </c>
      <c r="E35" s="133">
        <v>0</v>
      </c>
      <c r="F35" s="133">
        <v>0</v>
      </c>
      <c r="G35" s="133">
        <v>0</v>
      </c>
      <c r="H35" s="133">
        <v>0</v>
      </c>
      <c r="I35" s="133">
        <v>0</v>
      </c>
      <c r="J35" s="133">
        <v>0</v>
      </c>
      <c r="K35" s="133">
        <v>0</v>
      </c>
      <c r="L35" s="133">
        <v>0</v>
      </c>
      <c r="M35" s="133">
        <v>0</v>
      </c>
      <c r="N35" s="133">
        <v>0</v>
      </c>
      <c r="O35" s="133">
        <v>0</v>
      </c>
      <c r="P35" s="133">
        <v>0</v>
      </c>
      <c r="Q35" s="133">
        <v>0</v>
      </c>
      <c r="R35" s="133">
        <v>1</v>
      </c>
      <c r="S35" s="133">
        <v>0</v>
      </c>
      <c r="T35" s="133">
        <v>0</v>
      </c>
      <c r="U35" s="133">
        <v>0</v>
      </c>
      <c r="V35" s="133">
        <v>0</v>
      </c>
      <c r="W35" s="133">
        <v>0</v>
      </c>
      <c r="X35" s="133">
        <v>0</v>
      </c>
      <c r="Y35" s="133">
        <v>0</v>
      </c>
      <c r="Z35" s="133">
        <v>0</v>
      </c>
      <c r="AA35" s="133">
        <v>0</v>
      </c>
      <c r="AB35" s="133">
        <v>0</v>
      </c>
      <c r="AC35" s="133">
        <v>0</v>
      </c>
      <c r="AD35" s="133">
        <v>0</v>
      </c>
      <c r="AE35" s="133">
        <v>0</v>
      </c>
      <c r="AF35" s="133">
        <v>0</v>
      </c>
      <c r="AG35" s="133">
        <v>0</v>
      </c>
      <c r="AH35" s="133">
        <v>0</v>
      </c>
      <c r="AI35" s="134">
        <v>0</v>
      </c>
    </row>
  </sheetData>
  <mergeCells count="2">
    <mergeCell ref="A1:AI1"/>
    <mergeCell ref="AJ2:AJ15"/>
  </mergeCells>
  <phoneticPr fontId="26" type="noConversion"/>
  <conditionalFormatting sqref="B2:AI35">
    <cfRule type="cellIs" dxfId="1" priority="1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7"/>
  </sheetPr>
  <dimension ref="A1:AG32"/>
  <sheetViews>
    <sheetView workbookViewId="0">
      <selection activeCell="I47" sqref="I47"/>
    </sheetView>
  </sheetViews>
  <sheetFormatPr baseColWidth="10" defaultColWidth="11.26953125" defaultRowHeight="13" x14ac:dyDescent="0.3"/>
  <cols>
    <col min="1" max="1" width="18.54296875" style="76" bestFit="1" customWidth="1"/>
    <col min="2" max="2" width="5.26953125" style="76" bestFit="1" customWidth="1"/>
    <col min="3" max="32" width="5" style="76" customWidth="1"/>
    <col min="33" max="16384" width="11.26953125" style="76"/>
  </cols>
  <sheetData>
    <row r="1" spans="1:33" s="78" customFormat="1" ht="18.75" customHeight="1" x14ac:dyDescent="0.25">
      <c r="A1" s="539" t="s">
        <v>116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1"/>
    </row>
    <row r="2" spans="1:33" ht="29" x14ac:dyDescent="0.35">
      <c r="A2" s="147"/>
      <c r="B2" s="146" t="s">
        <v>66</v>
      </c>
      <c r="C2" s="125" t="s">
        <v>67</v>
      </c>
      <c r="D2" s="125" t="s">
        <v>49</v>
      </c>
      <c r="E2" s="125" t="s">
        <v>68</v>
      </c>
      <c r="F2" s="125" t="s">
        <v>69</v>
      </c>
      <c r="G2" s="125" t="s">
        <v>46</v>
      </c>
      <c r="H2" s="125" t="s">
        <v>45</v>
      </c>
      <c r="I2" s="125" t="s">
        <v>44</v>
      </c>
      <c r="J2" s="125" t="s">
        <v>70</v>
      </c>
      <c r="K2" s="125" t="s">
        <v>16</v>
      </c>
      <c r="L2" s="125" t="s">
        <v>64</v>
      </c>
      <c r="M2" s="125" t="s">
        <v>65</v>
      </c>
      <c r="N2" s="125" t="s">
        <v>47</v>
      </c>
      <c r="O2" s="125" t="s">
        <v>26</v>
      </c>
      <c r="P2" s="125" t="s">
        <v>71</v>
      </c>
      <c r="Q2" s="125" t="s">
        <v>72</v>
      </c>
      <c r="R2" s="125" t="s">
        <v>73</v>
      </c>
      <c r="S2" s="125" t="s">
        <v>74</v>
      </c>
      <c r="T2" s="125" t="s">
        <v>75</v>
      </c>
      <c r="U2" s="125" t="s">
        <v>43</v>
      </c>
      <c r="V2" s="125" t="s">
        <v>76</v>
      </c>
      <c r="W2" s="125" t="s">
        <v>77</v>
      </c>
      <c r="X2" s="125" t="s">
        <v>78</v>
      </c>
      <c r="Y2" s="125" t="s">
        <v>79</v>
      </c>
      <c r="Z2" s="125" t="s">
        <v>80</v>
      </c>
      <c r="AA2" s="125" t="s">
        <v>81</v>
      </c>
      <c r="AB2" s="125" t="s">
        <v>82</v>
      </c>
      <c r="AC2" s="125" t="s">
        <v>83</v>
      </c>
      <c r="AD2" s="125" t="s">
        <v>84</v>
      </c>
      <c r="AE2" s="125" t="s">
        <v>85</v>
      </c>
      <c r="AF2" s="126" t="s">
        <v>86</v>
      </c>
      <c r="AG2" s="538" t="s">
        <v>122</v>
      </c>
    </row>
    <row r="3" spans="1:33" ht="14.5" x14ac:dyDescent="0.35">
      <c r="A3" s="148" t="s">
        <v>87</v>
      </c>
      <c r="B3" s="131" t="s">
        <v>67</v>
      </c>
      <c r="C3" s="129">
        <v>0</v>
      </c>
      <c r="D3" s="129">
        <v>2</v>
      </c>
      <c r="E3" s="129">
        <v>0</v>
      </c>
      <c r="F3" s="129">
        <v>0</v>
      </c>
      <c r="G3" s="129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>
        <v>0</v>
      </c>
      <c r="P3" s="129">
        <v>0</v>
      </c>
      <c r="Q3" s="129">
        <v>0</v>
      </c>
      <c r="R3" s="129">
        <v>0</v>
      </c>
      <c r="S3" s="129">
        <v>0</v>
      </c>
      <c r="T3" s="129">
        <v>0</v>
      </c>
      <c r="U3" s="129">
        <v>0</v>
      </c>
      <c r="V3" s="129">
        <v>0</v>
      </c>
      <c r="W3" s="129">
        <v>0</v>
      </c>
      <c r="X3" s="129">
        <v>0</v>
      </c>
      <c r="Y3" s="129">
        <v>0</v>
      </c>
      <c r="Z3" s="129">
        <v>0</v>
      </c>
      <c r="AA3" s="129">
        <v>0</v>
      </c>
      <c r="AB3" s="129">
        <v>0</v>
      </c>
      <c r="AC3" s="129">
        <v>0</v>
      </c>
      <c r="AD3" s="129">
        <v>0</v>
      </c>
      <c r="AE3" s="129">
        <v>0</v>
      </c>
      <c r="AF3" s="130">
        <v>0</v>
      </c>
      <c r="AG3" s="538"/>
    </row>
    <row r="4" spans="1:33" ht="14.5" x14ac:dyDescent="0.35">
      <c r="A4" s="148" t="s">
        <v>88</v>
      </c>
      <c r="B4" s="131" t="s">
        <v>49</v>
      </c>
      <c r="C4" s="129">
        <v>2</v>
      </c>
      <c r="D4" s="129">
        <v>0</v>
      </c>
      <c r="E4" s="129">
        <v>0</v>
      </c>
      <c r="F4" s="129">
        <v>0</v>
      </c>
      <c r="G4" s="129">
        <v>2</v>
      </c>
      <c r="H4" s="129">
        <v>0</v>
      </c>
      <c r="I4" s="129">
        <v>2</v>
      </c>
      <c r="J4" s="129">
        <v>0</v>
      </c>
      <c r="K4" s="129">
        <v>0</v>
      </c>
      <c r="L4" s="129">
        <v>0</v>
      </c>
      <c r="M4" s="129">
        <v>0</v>
      </c>
      <c r="N4" s="129">
        <v>2</v>
      </c>
      <c r="O4" s="129">
        <v>0</v>
      </c>
      <c r="P4" s="129">
        <v>0</v>
      </c>
      <c r="Q4" s="129">
        <v>0</v>
      </c>
      <c r="R4" s="129">
        <v>0</v>
      </c>
      <c r="S4" s="129">
        <v>0</v>
      </c>
      <c r="T4" s="129">
        <v>0</v>
      </c>
      <c r="U4" s="129">
        <v>0</v>
      </c>
      <c r="V4" s="129">
        <v>0</v>
      </c>
      <c r="W4" s="129">
        <v>0</v>
      </c>
      <c r="X4" s="129">
        <v>0</v>
      </c>
      <c r="Y4" s="129">
        <v>0</v>
      </c>
      <c r="Z4" s="129">
        <v>0</v>
      </c>
      <c r="AA4" s="129">
        <v>0</v>
      </c>
      <c r="AB4" s="129">
        <v>0</v>
      </c>
      <c r="AC4" s="129">
        <v>0</v>
      </c>
      <c r="AD4" s="129">
        <v>0</v>
      </c>
      <c r="AE4" s="129">
        <v>0</v>
      </c>
      <c r="AF4" s="130">
        <v>0</v>
      </c>
      <c r="AG4" s="538"/>
    </row>
    <row r="5" spans="1:33" ht="14.5" x14ac:dyDescent="0.35">
      <c r="A5" s="148" t="s">
        <v>89</v>
      </c>
      <c r="B5" s="131" t="s">
        <v>68</v>
      </c>
      <c r="C5" s="129">
        <v>0</v>
      </c>
      <c r="D5" s="129">
        <v>0</v>
      </c>
      <c r="E5" s="129">
        <v>0</v>
      </c>
      <c r="F5" s="129">
        <v>1</v>
      </c>
      <c r="G5" s="129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>
        <v>0</v>
      </c>
      <c r="P5" s="129">
        <v>0</v>
      </c>
      <c r="Q5" s="129">
        <v>0</v>
      </c>
      <c r="R5" s="129">
        <v>0</v>
      </c>
      <c r="S5" s="129">
        <v>0</v>
      </c>
      <c r="T5" s="129">
        <v>0</v>
      </c>
      <c r="U5" s="129">
        <v>0</v>
      </c>
      <c r="V5" s="129">
        <v>0</v>
      </c>
      <c r="W5" s="129">
        <v>0</v>
      </c>
      <c r="X5" s="129">
        <v>0</v>
      </c>
      <c r="Y5" s="129">
        <v>0</v>
      </c>
      <c r="Z5" s="129">
        <v>0</v>
      </c>
      <c r="AA5" s="129">
        <v>0</v>
      </c>
      <c r="AB5" s="129">
        <v>0</v>
      </c>
      <c r="AC5" s="129">
        <v>0</v>
      </c>
      <c r="AD5" s="129">
        <v>0</v>
      </c>
      <c r="AE5" s="129">
        <v>0</v>
      </c>
      <c r="AF5" s="130">
        <v>0</v>
      </c>
      <c r="AG5" s="538"/>
    </row>
    <row r="6" spans="1:33" ht="14.5" x14ac:dyDescent="0.35">
      <c r="A6" s="148" t="s">
        <v>90</v>
      </c>
      <c r="B6" s="131" t="s">
        <v>69</v>
      </c>
      <c r="C6" s="129">
        <v>0</v>
      </c>
      <c r="D6" s="129">
        <v>0</v>
      </c>
      <c r="E6" s="129">
        <v>1</v>
      </c>
      <c r="F6" s="129">
        <v>0</v>
      </c>
      <c r="G6" s="129">
        <v>1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>
        <v>0</v>
      </c>
      <c r="P6" s="129">
        <v>0</v>
      </c>
      <c r="Q6" s="129">
        <v>0</v>
      </c>
      <c r="R6" s="129">
        <v>0</v>
      </c>
      <c r="S6" s="129">
        <v>0</v>
      </c>
      <c r="T6" s="129">
        <v>0</v>
      </c>
      <c r="U6" s="129">
        <v>0</v>
      </c>
      <c r="V6" s="129">
        <v>0</v>
      </c>
      <c r="W6" s="129">
        <v>0</v>
      </c>
      <c r="X6" s="129">
        <v>0</v>
      </c>
      <c r="Y6" s="129">
        <v>0</v>
      </c>
      <c r="Z6" s="129">
        <v>0</v>
      </c>
      <c r="AA6" s="129">
        <v>0</v>
      </c>
      <c r="AB6" s="129">
        <v>0</v>
      </c>
      <c r="AC6" s="129">
        <v>0</v>
      </c>
      <c r="AD6" s="129">
        <v>0</v>
      </c>
      <c r="AE6" s="129">
        <v>0</v>
      </c>
      <c r="AF6" s="130">
        <v>0</v>
      </c>
      <c r="AG6" s="538"/>
    </row>
    <row r="7" spans="1:33" ht="14.5" x14ac:dyDescent="0.35">
      <c r="A7" s="148" t="s">
        <v>91</v>
      </c>
      <c r="B7" s="131" t="s">
        <v>46</v>
      </c>
      <c r="C7" s="129">
        <v>0</v>
      </c>
      <c r="D7" s="129">
        <v>2</v>
      </c>
      <c r="E7" s="129">
        <v>0</v>
      </c>
      <c r="F7" s="129">
        <v>1</v>
      </c>
      <c r="G7" s="129">
        <v>0</v>
      </c>
      <c r="H7" s="129">
        <v>1</v>
      </c>
      <c r="I7" s="129">
        <v>0</v>
      </c>
      <c r="J7" s="129">
        <v>0</v>
      </c>
      <c r="K7" s="129">
        <v>1</v>
      </c>
      <c r="L7" s="129">
        <v>0</v>
      </c>
      <c r="M7" s="129">
        <v>0</v>
      </c>
      <c r="N7" s="129">
        <v>0</v>
      </c>
      <c r="O7" s="129">
        <v>0</v>
      </c>
      <c r="P7" s="129">
        <v>0</v>
      </c>
      <c r="Q7" s="129">
        <v>1</v>
      </c>
      <c r="R7" s="129">
        <v>1</v>
      </c>
      <c r="S7" s="129">
        <v>0</v>
      </c>
      <c r="T7" s="129">
        <v>0</v>
      </c>
      <c r="U7" s="129">
        <v>0</v>
      </c>
      <c r="V7" s="129">
        <v>0</v>
      </c>
      <c r="W7" s="129">
        <v>0</v>
      </c>
      <c r="X7" s="129">
        <v>0</v>
      </c>
      <c r="Y7" s="129">
        <v>0</v>
      </c>
      <c r="Z7" s="129">
        <v>0</v>
      </c>
      <c r="AA7" s="129">
        <v>0</v>
      </c>
      <c r="AB7" s="129">
        <v>0</v>
      </c>
      <c r="AC7" s="129">
        <v>0</v>
      </c>
      <c r="AD7" s="129">
        <v>0</v>
      </c>
      <c r="AE7" s="129">
        <v>0</v>
      </c>
      <c r="AF7" s="130">
        <v>0</v>
      </c>
      <c r="AG7" s="538"/>
    </row>
    <row r="8" spans="1:33" ht="14.5" x14ac:dyDescent="0.35">
      <c r="A8" s="148" t="s">
        <v>92</v>
      </c>
      <c r="B8" s="131" t="s">
        <v>45</v>
      </c>
      <c r="C8" s="129">
        <v>0</v>
      </c>
      <c r="D8" s="129">
        <v>0</v>
      </c>
      <c r="E8" s="129">
        <v>0</v>
      </c>
      <c r="F8" s="129">
        <v>0</v>
      </c>
      <c r="G8" s="129">
        <v>1</v>
      </c>
      <c r="H8" s="129">
        <v>0</v>
      </c>
      <c r="I8" s="129">
        <v>1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>
        <v>0</v>
      </c>
      <c r="P8" s="129">
        <v>0</v>
      </c>
      <c r="Q8" s="129">
        <v>0</v>
      </c>
      <c r="R8" s="129">
        <v>0</v>
      </c>
      <c r="S8" s="129">
        <v>0</v>
      </c>
      <c r="T8" s="129">
        <v>0</v>
      </c>
      <c r="U8" s="129">
        <v>0</v>
      </c>
      <c r="V8" s="129">
        <v>0</v>
      </c>
      <c r="W8" s="129">
        <v>0</v>
      </c>
      <c r="X8" s="129">
        <v>0</v>
      </c>
      <c r="Y8" s="129">
        <v>0</v>
      </c>
      <c r="Z8" s="129">
        <v>0</v>
      </c>
      <c r="AA8" s="129">
        <v>0</v>
      </c>
      <c r="AB8" s="129">
        <v>0</v>
      </c>
      <c r="AC8" s="129">
        <v>0</v>
      </c>
      <c r="AD8" s="129">
        <v>0</v>
      </c>
      <c r="AE8" s="129">
        <v>0</v>
      </c>
      <c r="AF8" s="130">
        <v>0</v>
      </c>
      <c r="AG8" s="538"/>
    </row>
    <row r="9" spans="1:33" ht="14.5" x14ac:dyDescent="0.35">
      <c r="A9" s="148" t="s">
        <v>93</v>
      </c>
      <c r="B9" s="131" t="s">
        <v>44</v>
      </c>
      <c r="C9" s="129">
        <v>0</v>
      </c>
      <c r="D9" s="129">
        <v>2</v>
      </c>
      <c r="E9" s="129">
        <v>0</v>
      </c>
      <c r="F9" s="129">
        <v>0</v>
      </c>
      <c r="G9" s="129">
        <v>0</v>
      </c>
      <c r="H9" s="129">
        <v>1</v>
      </c>
      <c r="I9" s="129">
        <v>0</v>
      </c>
      <c r="J9" s="129">
        <v>0</v>
      </c>
      <c r="K9" s="129">
        <v>1</v>
      </c>
      <c r="L9" s="129">
        <v>0</v>
      </c>
      <c r="M9" s="129">
        <v>0</v>
      </c>
      <c r="N9" s="129">
        <v>2</v>
      </c>
      <c r="O9" s="129">
        <v>0</v>
      </c>
      <c r="P9" s="129">
        <v>0</v>
      </c>
      <c r="Q9" s="129">
        <v>0</v>
      </c>
      <c r="R9" s="129">
        <v>0</v>
      </c>
      <c r="S9" s="129">
        <v>0</v>
      </c>
      <c r="T9" s="129">
        <v>0</v>
      </c>
      <c r="U9" s="129">
        <v>0</v>
      </c>
      <c r="V9" s="129">
        <v>0</v>
      </c>
      <c r="W9" s="129">
        <v>0</v>
      </c>
      <c r="X9" s="129">
        <v>0</v>
      </c>
      <c r="Y9" s="129">
        <v>0</v>
      </c>
      <c r="Z9" s="129">
        <v>0</v>
      </c>
      <c r="AA9" s="129">
        <v>0</v>
      </c>
      <c r="AB9" s="129">
        <v>0</v>
      </c>
      <c r="AC9" s="129">
        <v>0</v>
      </c>
      <c r="AD9" s="129">
        <v>0</v>
      </c>
      <c r="AE9" s="129">
        <v>0</v>
      </c>
      <c r="AF9" s="130">
        <v>0</v>
      </c>
      <c r="AG9" s="538"/>
    </row>
    <row r="10" spans="1:33" ht="14.5" x14ac:dyDescent="0.35">
      <c r="A10" s="148" t="s">
        <v>94</v>
      </c>
      <c r="B10" s="131" t="s">
        <v>70</v>
      </c>
      <c r="C10" s="129">
        <v>0</v>
      </c>
      <c r="D10" s="129">
        <v>0</v>
      </c>
      <c r="E10" s="129">
        <v>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1</v>
      </c>
      <c r="L10" s="129">
        <v>0</v>
      </c>
      <c r="M10" s="129">
        <v>0</v>
      </c>
      <c r="N10" s="129">
        <v>0</v>
      </c>
      <c r="O10" s="129">
        <v>0</v>
      </c>
      <c r="P10" s="129">
        <v>0</v>
      </c>
      <c r="Q10" s="129">
        <v>0</v>
      </c>
      <c r="R10" s="129">
        <v>0</v>
      </c>
      <c r="S10" s="129">
        <v>0</v>
      </c>
      <c r="T10" s="129">
        <v>0</v>
      </c>
      <c r="U10" s="129">
        <v>0</v>
      </c>
      <c r="V10" s="129">
        <v>0</v>
      </c>
      <c r="W10" s="129">
        <v>0</v>
      </c>
      <c r="X10" s="129">
        <v>0</v>
      </c>
      <c r="Y10" s="129">
        <v>0</v>
      </c>
      <c r="Z10" s="129">
        <v>0</v>
      </c>
      <c r="AA10" s="129">
        <v>0</v>
      </c>
      <c r="AB10" s="129">
        <v>0</v>
      </c>
      <c r="AC10" s="129">
        <v>0</v>
      </c>
      <c r="AD10" s="129">
        <v>0</v>
      </c>
      <c r="AE10" s="129">
        <v>0</v>
      </c>
      <c r="AF10" s="130">
        <v>0</v>
      </c>
      <c r="AG10" s="538"/>
    </row>
    <row r="11" spans="1:33" ht="14.5" x14ac:dyDescent="0.35">
      <c r="A11" s="148" t="s">
        <v>56</v>
      </c>
      <c r="B11" s="131" t="s">
        <v>16</v>
      </c>
      <c r="C11" s="129">
        <v>0</v>
      </c>
      <c r="D11" s="129">
        <v>0</v>
      </c>
      <c r="E11" s="129">
        <v>0</v>
      </c>
      <c r="F11" s="129">
        <v>0</v>
      </c>
      <c r="G11" s="129">
        <v>1</v>
      </c>
      <c r="H11" s="129">
        <v>0</v>
      </c>
      <c r="I11" s="129">
        <v>1</v>
      </c>
      <c r="J11" s="129">
        <v>1</v>
      </c>
      <c r="K11" s="129">
        <v>0</v>
      </c>
      <c r="L11" s="129">
        <v>1</v>
      </c>
      <c r="M11" s="129">
        <v>2</v>
      </c>
      <c r="N11" s="129">
        <v>2</v>
      </c>
      <c r="O11" s="129">
        <v>2</v>
      </c>
      <c r="P11" s="129">
        <v>0</v>
      </c>
      <c r="Q11" s="129">
        <v>1</v>
      </c>
      <c r="R11" s="129">
        <v>0</v>
      </c>
      <c r="S11" s="129">
        <v>1</v>
      </c>
      <c r="T11" s="129">
        <v>0</v>
      </c>
      <c r="U11" s="129">
        <v>1</v>
      </c>
      <c r="V11" s="129">
        <v>1</v>
      </c>
      <c r="W11" s="129">
        <v>0</v>
      </c>
      <c r="X11" s="129">
        <v>0</v>
      </c>
      <c r="Y11" s="129">
        <v>0</v>
      </c>
      <c r="Z11" s="129">
        <v>0</v>
      </c>
      <c r="AA11" s="129">
        <v>0</v>
      </c>
      <c r="AB11" s="129">
        <v>0</v>
      </c>
      <c r="AC11" s="129">
        <v>0</v>
      </c>
      <c r="AD11" s="129">
        <v>0</v>
      </c>
      <c r="AE11" s="129">
        <v>0</v>
      </c>
      <c r="AF11" s="130">
        <v>0</v>
      </c>
      <c r="AG11" s="538"/>
    </row>
    <row r="12" spans="1:33" ht="14.5" x14ac:dyDescent="0.35">
      <c r="A12" s="148" t="s">
        <v>95</v>
      </c>
      <c r="B12" s="131" t="s">
        <v>64</v>
      </c>
      <c r="C12" s="129">
        <v>0</v>
      </c>
      <c r="D12" s="129">
        <v>0</v>
      </c>
      <c r="E12" s="129">
        <v>0</v>
      </c>
      <c r="F12" s="129">
        <v>0</v>
      </c>
      <c r="G12" s="129">
        <v>0</v>
      </c>
      <c r="H12" s="129">
        <v>0</v>
      </c>
      <c r="I12" s="129">
        <v>0</v>
      </c>
      <c r="J12" s="129">
        <v>0</v>
      </c>
      <c r="K12" s="129">
        <v>1</v>
      </c>
      <c r="L12" s="129">
        <v>0</v>
      </c>
      <c r="M12" s="129">
        <v>2</v>
      </c>
      <c r="N12" s="129">
        <v>2</v>
      </c>
      <c r="O12" s="129">
        <v>2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29">
        <v>0</v>
      </c>
      <c r="AA12" s="129">
        <v>0</v>
      </c>
      <c r="AB12" s="129">
        <v>0</v>
      </c>
      <c r="AC12" s="129">
        <v>0</v>
      </c>
      <c r="AD12" s="129">
        <v>0</v>
      </c>
      <c r="AE12" s="129">
        <v>0</v>
      </c>
      <c r="AF12" s="130">
        <v>0</v>
      </c>
      <c r="AG12" s="538"/>
    </row>
    <row r="13" spans="1:33" ht="14.5" x14ac:dyDescent="0.35">
      <c r="A13" s="148" t="s">
        <v>96</v>
      </c>
      <c r="B13" s="131" t="s">
        <v>65</v>
      </c>
      <c r="C13" s="129">
        <v>0</v>
      </c>
      <c r="D13" s="129">
        <v>0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2</v>
      </c>
      <c r="L13" s="129">
        <v>2</v>
      </c>
      <c r="M13" s="129">
        <v>0</v>
      </c>
      <c r="N13" s="129">
        <v>0</v>
      </c>
      <c r="O13" s="129">
        <v>2</v>
      </c>
      <c r="P13" s="129">
        <v>0</v>
      </c>
      <c r="Q13" s="129">
        <v>0</v>
      </c>
      <c r="R13" s="129">
        <v>0</v>
      </c>
      <c r="S13" s="129">
        <v>0</v>
      </c>
      <c r="T13" s="129">
        <v>0</v>
      </c>
      <c r="U13" s="129">
        <v>0</v>
      </c>
      <c r="V13" s="129">
        <v>0</v>
      </c>
      <c r="W13" s="129">
        <v>0</v>
      </c>
      <c r="X13" s="129">
        <v>0</v>
      </c>
      <c r="Y13" s="129">
        <v>0</v>
      </c>
      <c r="Z13" s="129">
        <v>0</v>
      </c>
      <c r="AA13" s="129">
        <v>0</v>
      </c>
      <c r="AB13" s="129">
        <v>0</v>
      </c>
      <c r="AC13" s="129">
        <v>0</v>
      </c>
      <c r="AD13" s="129">
        <v>0</v>
      </c>
      <c r="AE13" s="129">
        <v>0</v>
      </c>
      <c r="AF13" s="130">
        <v>0</v>
      </c>
      <c r="AG13" s="538"/>
    </row>
    <row r="14" spans="1:33" ht="14.5" x14ac:dyDescent="0.35">
      <c r="A14" s="148" t="s">
        <v>97</v>
      </c>
      <c r="B14" s="131" t="s">
        <v>47</v>
      </c>
      <c r="C14" s="129">
        <v>0</v>
      </c>
      <c r="D14" s="129">
        <v>2</v>
      </c>
      <c r="E14" s="129">
        <v>0</v>
      </c>
      <c r="F14" s="129">
        <v>0</v>
      </c>
      <c r="G14" s="129">
        <v>0</v>
      </c>
      <c r="H14" s="129">
        <v>0</v>
      </c>
      <c r="I14" s="129">
        <v>2</v>
      </c>
      <c r="J14" s="129">
        <v>0</v>
      </c>
      <c r="K14" s="129">
        <v>2</v>
      </c>
      <c r="L14" s="129">
        <v>2</v>
      </c>
      <c r="M14" s="129">
        <v>0</v>
      </c>
      <c r="N14" s="129">
        <v>0</v>
      </c>
      <c r="O14" s="129">
        <v>1</v>
      </c>
      <c r="P14" s="129">
        <v>0</v>
      </c>
      <c r="Q14" s="129">
        <v>0</v>
      </c>
      <c r="R14" s="129">
        <v>0</v>
      </c>
      <c r="S14" s="129">
        <v>0</v>
      </c>
      <c r="T14" s="129">
        <v>0</v>
      </c>
      <c r="U14" s="129">
        <v>0</v>
      </c>
      <c r="V14" s="129">
        <v>0</v>
      </c>
      <c r="W14" s="129">
        <v>0</v>
      </c>
      <c r="X14" s="129">
        <v>0</v>
      </c>
      <c r="Y14" s="129">
        <v>0</v>
      </c>
      <c r="Z14" s="129">
        <v>0</v>
      </c>
      <c r="AA14" s="129">
        <v>0</v>
      </c>
      <c r="AB14" s="129">
        <v>0</v>
      </c>
      <c r="AC14" s="129">
        <v>0</v>
      </c>
      <c r="AD14" s="129">
        <v>0</v>
      </c>
      <c r="AE14" s="129">
        <v>0</v>
      </c>
      <c r="AF14" s="130">
        <v>0</v>
      </c>
      <c r="AG14" s="538"/>
    </row>
    <row r="15" spans="1:33" ht="14.5" x14ac:dyDescent="0.35">
      <c r="A15" s="148" t="s">
        <v>98</v>
      </c>
      <c r="B15" s="131" t="s">
        <v>26</v>
      </c>
      <c r="C15" s="129">
        <v>0</v>
      </c>
      <c r="D15" s="129">
        <v>0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  <c r="J15" s="129">
        <v>0</v>
      </c>
      <c r="K15" s="129">
        <v>2</v>
      </c>
      <c r="L15" s="129">
        <v>2</v>
      </c>
      <c r="M15" s="129">
        <v>2</v>
      </c>
      <c r="N15" s="129">
        <v>1</v>
      </c>
      <c r="O15" s="129">
        <v>0</v>
      </c>
      <c r="P15" s="129">
        <v>2</v>
      </c>
      <c r="Q15" s="129">
        <v>0</v>
      </c>
      <c r="R15" s="129">
        <v>0</v>
      </c>
      <c r="S15" s="129">
        <v>0</v>
      </c>
      <c r="T15" s="129">
        <v>0</v>
      </c>
      <c r="U15" s="129">
        <v>2</v>
      </c>
      <c r="V15" s="129">
        <v>0</v>
      </c>
      <c r="W15" s="129">
        <v>0</v>
      </c>
      <c r="X15" s="129">
        <v>0</v>
      </c>
      <c r="Y15" s="129">
        <v>0</v>
      </c>
      <c r="Z15" s="129">
        <v>0</v>
      </c>
      <c r="AA15" s="129">
        <v>0</v>
      </c>
      <c r="AB15" s="129">
        <v>0</v>
      </c>
      <c r="AC15" s="129">
        <v>0</v>
      </c>
      <c r="AD15" s="129">
        <v>0</v>
      </c>
      <c r="AE15" s="129">
        <v>0</v>
      </c>
      <c r="AF15" s="130">
        <v>0</v>
      </c>
      <c r="AG15" s="538"/>
    </row>
    <row r="16" spans="1:33" ht="14.5" x14ac:dyDescent="0.35">
      <c r="A16" s="148" t="s">
        <v>99</v>
      </c>
      <c r="B16" s="131" t="s">
        <v>71</v>
      </c>
      <c r="C16" s="129">
        <v>0</v>
      </c>
      <c r="D16" s="129">
        <v>0</v>
      </c>
      <c r="E16" s="129">
        <v>0</v>
      </c>
      <c r="F16" s="129">
        <v>0</v>
      </c>
      <c r="G16" s="129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>
        <v>2</v>
      </c>
      <c r="P16" s="129">
        <v>0</v>
      </c>
      <c r="Q16" s="129">
        <v>0</v>
      </c>
      <c r="R16" s="129">
        <v>0</v>
      </c>
      <c r="S16" s="129">
        <v>0</v>
      </c>
      <c r="T16" s="129">
        <v>0</v>
      </c>
      <c r="U16" s="129">
        <v>0</v>
      </c>
      <c r="V16" s="129">
        <v>0</v>
      </c>
      <c r="W16" s="129">
        <v>0</v>
      </c>
      <c r="X16" s="129">
        <v>0</v>
      </c>
      <c r="Y16" s="129">
        <v>0</v>
      </c>
      <c r="Z16" s="129">
        <v>0</v>
      </c>
      <c r="AA16" s="129">
        <v>0</v>
      </c>
      <c r="AB16" s="129">
        <v>0</v>
      </c>
      <c r="AC16" s="129">
        <v>0</v>
      </c>
      <c r="AD16" s="129">
        <v>0</v>
      </c>
      <c r="AE16" s="129">
        <v>0</v>
      </c>
      <c r="AF16" s="130">
        <v>0</v>
      </c>
    </row>
    <row r="17" spans="1:32" ht="14.5" x14ac:dyDescent="0.35">
      <c r="A17" s="148" t="s">
        <v>100</v>
      </c>
      <c r="B17" s="131" t="s">
        <v>72</v>
      </c>
      <c r="C17" s="129">
        <v>0</v>
      </c>
      <c r="D17" s="129">
        <v>0</v>
      </c>
      <c r="E17" s="129">
        <v>0</v>
      </c>
      <c r="F17" s="129">
        <v>0</v>
      </c>
      <c r="G17" s="129">
        <v>1</v>
      </c>
      <c r="H17" s="129">
        <v>0</v>
      </c>
      <c r="I17" s="129">
        <v>0</v>
      </c>
      <c r="J17" s="129">
        <v>0</v>
      </c>
      <c r="K17" s="129">
        <v>1</v>
      </c>
      <c r="L17" s="129">
        <v>0</v>
      </c>
      <c r="M17" s="129">
        <v>0</v>
      </c>
      <c r="N17" s="129">
        <v>0</v>
      </c>
      <c r="O17" s="129">
        <v>0</v>
      </c>
      <c r="P17" s="129">
        <v>0</v>
      </c>
      <c r="Q17" s="129">
        <v>0</v>
      </c>
      <c r="R17" s="129">
        <v>1</v>
      </c>
      <c r="S17" s="129">
        <v>1</v>
      </c>
      <c r="T17" s="129">
        <v>0</v>
      </c>
      <c r="U17" s="129">
        <v>0</v>
      </c>
      <c r="V17" s="129">
        <v>0</v>
      </c>
      <c r="W17" s="129">
        <v>0</v>
      </c>
      <c r="X17" s="129">
        <v>0</v>
      </c>
      <c r="Y17" s="129">
        <v>0</v>
      </c>
      <c r="Z17" s="129">
        <v>0</v>
      </c>
      <c r="AA17" s="129">
        <v>0</v>
      </c>
      <c r="AB17" s="129">
        <v>0</v>
      </c>
      <c r="AC17" s="129">
        <v>0</v>
      </c>
      <c r="AD17" s="129">
        <v>0</v>
      </c>
      <c r="AE17" s="129">
        <v>0</v>
      </c>
      <c r="AF17" s="130">
        <v>0</v>
      </c>
    </row>
    <row r="18" spans="1:32" ht="14.5" x14ac:dyDescent="0.35">
      <c r="A18" s="148" t="s">
        <v>101</v>
      </c>
      <c r="B18" s="131" t="s">
        <v>73</v>
      </c>
      <c r="C18" s="129">
        <v>0</v>
      </c>
      <c r="D18" s="129">
        <v>0</v>
      </c>
      <c r="E18" s="129">
        <v>0</v>
      </c>
      <c r="F18" s="129">
        <v>0</v>
      </c>
      <c r="G18" s="129">
        <v>1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>
        <v>0</v>
      </c>
      <c r="P18" s="129">
        <v>0</v>
      </c>
      <c r="Q18" s="129">
        <v>1</v>
      </c>
      <c r="R18" s="129">
        <v>0</v>
      </c>
      <c r="S18" s="129">
        <v>1</v>
      </c>
      <c r="T18" s="129">
        <v>1</v>
      </c>
      <c r="U18" s="129">
        <v>0</v>
      </c>
      <c r="V18" s="129">
        <v>0</v>
      </c>
      <c r="W18" s="129">
        <v>0</v>
      </c>
      <c r="X18" s="129">
        <v>0</v>
      </c>
      <c r="Y18" s="129">
        <v>0</v>
      </c>
      <c r="Z18" s="129">
        <v>0</v>
      </c>
      <c r="AA18" s="129">
        <v>0</v>
      </c>
      <c r="AB18" s="129">
        <v>0</v>
      </c>
      <c r="AC18" s="129">
        <v>0</v>
      </c>
      <c r="AD18" s="129">
        <v>0</v>
      </c>
      <c r="AE18" s="129">
        <v>0</v>
      </c>
      <c r="AF18" s="130">
        <v>0</v>
      </c>
    </row>
    <row r="19" spans="1:32" ht="14.5" x14ac:dyDescent="0.35">
      <c r="A19" s="148" t="s">
        <v>102</v>
      </c>
      <c r="B19" s="131" t="s">
        <v>74</v>
      </c>
      <c r="C19" s="129">
        <v>0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1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1</v>
      </c>
      <c r="R19" s="129">
        <v>1</v>
      </c>
      <c r="S19" s="129">
        <v>0</v>
      </c>
      <c r="T19" s="129">
        <v>1</v>
      </c>
      <c r="U19" s="129">
        <v>0</v>
      </c>
      <c r="V19" s="129">
        <v>1</v>
      </c>
      <c r="W19" s="129">
        <v>0</v>
      </c>
      <c r="X19" s="129">
        <v>1</v>
      </c>
      <c r="Y19" s="129">
        <v>0</v>
      </c>
      <c r="Z19" s="129">
        <v>0</v>
      </c>
      <c r="AA19" s="129">
        <v>0</v>
      </c>
      <c r="AB19" s="129">
        <v>0</v>
      </c>
      <c r="AC19" s="129">
        <v>0</v>
      </c>
      <c r="AD19" s="129">
        <v>0</v>
      </c>
      <c r="AE19" s="129">
        <v>0</v>
      </c>
      <c r="AF19" s="130">
        <v>0</v>
      </c>
    </row>
    <row r="20" spans="1:32" ht="14.5" x14ac:dyDescent="0.35">
      <c r="A20" s="148" t="s">
        <v>103</v>
      </c>
      <c r="B20" s="131" t="s">
        <v>75</v>
      </c>
      <c r="C20" s="129">
        <v>0</v>
      </c>
      <c r="D20" s="129">
        <v>0</v>
      </c>
      <c r="E20" s="129">
        <v>0</v>
      </c>
      <c r="F20" s="129">
        <v>0</v>
      </c>
      <c r="G20" s="129">
        <v>0</v>
      </c>
      <c r="H20" s="129">
        <v>0</v>
      </c>
      <c r="I20" s="129">
        <v>0</v>
      </c>
      <c r="J20" s="129">
        <v>0</v>
      </c>
      <c r="K20" s="129"/>
      <c r="L20" s="129">
        <v>0</v>
      </c>
      <c r="M20" s="129">
        <v>0</v>
      </c>
      <c r="N20" s="129">
        <v>0</v>
      </c>
      <c r="O20" s="129">
        <v>0</v>
      </c>
      <c r="P20" s="129">
        <v>0</v>
      </c>
      <c r="Q20" s="129">
        <v>0</v>
      </c>
      <c r="R20" s="129">
        <v>1</v>
      </c>
      <c r="S20" s="129">
        <v>1</v>
      </c>
      <c r="T20" s="129">
        <v>0</v>
      </c>
      <c r="U20" s="129">
        <v>0</v>
      </c>
      <c r="V20" s="129">
        <v>0</v>
      </c>
      <c r="W20" s="129">
        <v>0</v>
      </c>
      <c r="X20" s="129">
        <v>0</v>
      </c>
      <c r="Y20" s="129">
        <v>0</v>
      </c>
      <c r="Z20" s="129">
        <v>0</v>
      </c>
      <c r="AA20" s="129">
        <v>0</v>
      </c>
      <c r="AB20" s="129">
        <v>0</v>
      </c>
      <c r="AC20" s="129">
        <v>0</v>
      </c>
      <c r="AD20" s="129">
        <v>0</v>
      </c>
      <c r="AE20" s="129">
        <v>0</v>
      </c>
      <c r="AF20" s="130">
        <v>0</v>
      </c>
    </row>
    <row r="21" spans="1:32" ht="14.5" x14ac:dyDescent="0.35">
      <c r="A21" s="148" t="s">
        <v>104</v>
      </c>
      <c r="B21" s="131" t="s">
        <v>43</v>
      </c>
      <c r="C21" s="129">
        <v>0</v>
      </c>
      <c r="D21" s="129">
        <v>0</v>
      </c>
      <c r="E21" s="129">
        <v>0</v>
      </c>
      <c r="F21" s="129">
        <v>0</v>
      </c>
      <c r="G21" s="129">
        <v>0</v>
      </c>
      <c r="H21" s="129">
        <v>0</v>
      </c>
      <c r="I21" s="129">
        <v>0</v>
      </c>
      <c r="J21" s="129">
        <v>0</v>
      </c>
      <c r="K21" s="129">
        <v>1</v>
      </c>
      <c r="L21" s="129">
        <v>0</v>
      </c>
      <c r="M21" s="129">
        <v>0</v>
      </c>
      <c r="N21" s="129">
        <v>0</v>
      </c>
      <c r="O21" s="129">
        <v>2</v>
      </c>
      <c r="P21" s="129">
        <v>0</v>
      </c>
      <c r="Q21" s="129">
        <v>0</v>
      </c>
      <c r="R21" s="129">
        <v>0</v>
      </c>
      <c r="S21" s="129">
        <v>0</v>
      </c>
      <c r="T21" s="129">
        <v>0</v>
      </c>
      <c r="U21" s="129">
        <v>0</v>
      </c>
      <c r="V21" s="129">
        <v>1</v>
      </c>
      <c r="W21" s="129">
        <v>0</v>
      </c>
      <c r="X21" s="129">
        <v>0</v>
      </c>
      <c r="Y21" s="129">
        <v>0</v>
      </c>
      <c r="Z21" s="129">
        <v>0</v>
      </c>
      <c r="AA21" s="129">
        <v>0</v>
      </c>
      <c r="AB21" s="129">
        <v>0</v>
      </c>
      <c r="AC21" s="129">
        <v>0</v>
      </c>
      <c r="AD21" s="129">
        <v>0</v>
      </c>
      <c r="AE21" s="129">
        <v>0</v>
      </c>
      <c r="AF21" s="130">
        <v>0</v>
      </c>
    </row>
    <row r="22" spans="1:32" ht="14.5" x14ac:dyDescent="0.35">
      <c r="A22" s="148" t="s">
        <v>105</v>
      </c>
      <c r="B22" s="131" t="s">
        <v>76</v>
      </c>
      <c r="C22" s="129">
        <v>0</v>
      </c>
      <c r="D22" s="129">
        <v>0</v>
      </c>
      <c r="E22" s="129">
        <v>0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1</v>
      </c>
      <c r="L22" s="129">
        <v>0</v>
      </c>
      <c r="M22" s="129">
        <v>0</v>
      </c>
      <c r="N22" s="129">
        <v>0</v>
      </c>
      <c r="O22" s="129">
        <v>0</v>
      </c>
      <c r="P22" s="129">
        <v>0</v>
      </c>
      <c r="Q22" s="129">
        <v>0</v>
      </c>
      <c r="R22" s="129">
        <v>0</v>
      </c>
      <c r="S22" s="129">
        <v>1</v>
      </c>
      <c r="T22" s="129">
        <v>0</v>
      </c>
      <c r="U22" s="129">
        <v>1</v>
      </c>
      <c r="V22" s="129">
        <v>0</v>
      </c>
      <c r="W22" s="129">
        <v>0</v>
      </c>
      <c r="X22" s="129">
        <v>0</v>
      </c>
      <c r="Y22" s="129">
        <v>0</v>
      </c>
      <c r="Z22" s="129">
        <v>0</v>
      </c>
      <c r="AA22" s="129">
        <v>0</v>
      </c>
      <c r="AB22" s="129">
        <v>0</v>
      </c>
      <c r="AC22" s="129">
        <v>0</v>
      </c>
      <c r="AD22" s="129">
        <v>0</v>
      </c>
      <c r="AE22" s="129">
        <v>0</v>
      </c>
      <c r="AF22" s="130">
        <v>0</v>
      </c>
    </row>
    <row r="23" spans="1:32" ht="14.5" x14ac:dyDescent="0.35">
      <c r="A23" s="148" t="s">
        <v>106</v>
      </c>
      <c r="B23" s="131" t="s">
        <v>77</v>
      </c>
      <c r="C23" s="129">
        <v>0</v>
      </c>
      <c r="D23" s="129">
        <v>0</v>
      </c>
      <c r="E23" s="129">
        <v>0</v>
      </c>
      <c r="F23" s="129">
        <v>0</v>
      </c>
      <c r="G23" s="129">
        <v>0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  <c r="P23" s="129">
        <v>0</v>
      </c>
      <c r="Q23" s="129">
        <v>0</v>
      </c>
      <c r="R23" s="129">
        <v>0</v>
      </c>
      <c r="S23" s="129">
        <v>0</v>
      </c>
      <c r="T23" s="129">
        <v>0</v>
      </c>
      <c r="U23" s="129">
        <v>0</v>
      </c>
      <c r="V23" s="129">
        <v>0</v>
      </c>
      <c r="W23" s="129">
        <v>0</v>
      </c>
      <c r="X23" s="129">
        <v>0</v>
      </c>
      <c r="Y23" s="129">
        <v>0</v>
      </c>
      <c r="Z23" s="129">
        <v>0</v>
      </c>
      <c r="AA23" s="129">
        <v>0</v>
      </c>
      <c r="AB23" s="129">
        <v>0</v>
      </c>
      <c r="AC23" s="129">
        <v>0</v>
      </c>
      <c r="AD23" s="129">
        <v>0</v>
      </c>
      <c r="AE23" s="129">
        <v>0</v>
      </c>
      <c r="AF23" s="130">
        <v>0</v>
      </c>
    </row>
    <row r="24" spans="1:32" ht="14.5" x14ac:dyDescent="0.35">
      <c r="A24" s="148" t="s">
        <v>107</v>
      </c>
      <c r="B24" s="131" t="s">
        <v>78</v>
      </c>
      <c r="C24" s="129">
        <v>0</v>
      </c>
      <c r="D24" s="129">
        <v>0</v>
      </c>
      <c r="E24" s="129">
        <v>0</v>
      </c>
      <c r="F24" s="129">
        <v>0</v>
      </c>
      <c r="G24" s="129">
        <v>0</v>
      </c>
      <c r="H24" s="129">
        <v>0</v>
      </c>
      <c r="I24" s="129">
        <v>0</v>
      </c>
      <c r="J24" s="129">
        <v>0</v>
      </c>
      <c r="K24" s="129">
        <v>0</v>
      </c>
      <c r="L24" s="129">
        <v>0</v>
      </c>
      <c r="M24" s="129">
        <v>0</v>
      </c>
      <c r="N24" s="129">
        <v>0</v>
      </c>
      <c r="O24" s="129">
        <v>0</v>
      </c>
      <c r="P24" s="129">
        <v>0</v>
      </c>
      <c r="Q24" s="129">
        <v>0</v>
      </c>
      <c r="R24" s="129">
        <v>0</v>
      </c>
      <c r="S24" s="129">
        <v>0</v>
      </c>
      <c r="T24" s="129">
        <v>0</v>
      </c>
      <c r="U24" s="129">
        <v>0</v>
      </c>
      <c r="V24" s="129">
        <v>0</v>
      </c>
      <c r="W24" s="129">
        <v>0</v>
      </c>
      <c r="X24" s="129">
        <v>0</v>
      </c>
      <c r="Y24" s="129">
        <v>0</v>
      </c>
      <c r="Z24" s="129">
        <v>0</v>
      </c>
      <c r="AA24" s="129">
        <v>0</v>
      </c>
      <c r="AB24" s="129">
        <v>0</v>
      </c>
      <c r="AC24" s="129">
        <v>0</v>
      </c>
      <c r="AD24" s="129">
        <v>0</v>
      </c>
      <c r="AE24" s="129">
        <v>0</v>
      </c>
      <c r="AF24" s="130">
        <v>0</v>
      </c>
    </row>
    <row r="25" spans="1:32" ht="14.5" x14ac:dyDescent="0.35">
      <c r="A25" s="148" t="s">
        <v>108</v>
      </c>
      <c r="B25" s="131" t="s">
        <v>79</v>
      </c>
      <c r="C25" s="129">
        <v>0</v>
      </c>
      <c r="D25" s="129">
        <v>0</v>
      </c>
      <c r="E25" s="129">
        <v>0</v>
      </c>
      <c r="F25" s="129">
        <v>0</v>
      </c>
      <c r="G25" s="129">
        <v>0</v>
      </c>
      <c r="H25" s="129">
        <v>0</v>
      </c>
      <c r="I25" s="129">
        <v>0</v>
      </c>
      <c r="J25" s="129">
        <v>0</v>
      </c>
      <c r="K25" s="129">
        <v>0</v>
      </c>
      <c r="L25" s="129">
        <v>0</v>
      </c>
      <c r="M25" s="129">
        <v>0</v>
      </c>
      <c r="N25" s="129">
        <v>0</v>
      </c>
      <c r="O25" s="129">
        <v>0</v>
      </c>
      <c r="P25" s="129">
        <v>0</v>
      </c>
      <c r="Q25" s="129">
        <v>0</v>
      </c>
      <c r="R25" s="129">
        <v>0</v>
      </c>
      <c r="S25" s="129">
        <v>0</v>
      </c>
      <c r="T25" s="129">
        <v>0</v>
      </c>
      <c r="U25" s="129">
        <v>0</v>
      </c>
      <c r="V25" s="129">
        <v>0</v>
      </c>
      <c r="W25" s="129">
        <v>0</v>
      </c>
      <c r="X25" s="129">
        <v>0</v>
      </c>
      <c r="Y25" s="129">
        <v>0</v>
      </c>
      <c r="Z25" s="129">
        <v>0</v>
      </c>
      <c r="AA25" s="129">
        <v>0</v>
      </c>
      <c r="AB25" s="129">
        <v>0</v>
      </c>
      <c r="AC25" s="129">
        <v>0</v>
      </c>
      <c r="AD25" s="129">
        <v>0</v>
      </c>
      <c r="AE25" s="129">
        <v>1</v>
      </c>
      <c r="AF25" s="130">
        <v>0</v>
      </c>
    </row>
    <row r="26" spans="1:32" ht="14.5" x14ac:dyDescent="0.35">
      <c r="A26" s="148" t="s">
        <v>109</v>
      </c>
      <c r="B26" s="131" t="s">
        <v>80</v>
      </c>
      <c r="C26" s="129">
        <v>0</v>
      </c>
      <c r="D26" s="129">
        <v>0</v>
      </c>
      <c r="E26" s="129">
        <v>0</v>
      </c>
      <c r="F26" s="129">
        <v>0</v>
      </c>
      <c r="G26" s="129">
        <v>0</v>
      </c>
      <c r="H26" s="129">
        <v>0</v>
      </c>
      <c r="I26" s="129">
        <v>0</v>
      </c>
      <c r="J26" s="129">
        <v>0</v>
      </c>
      <c r="K26" s="129">
        <v>0</v>
      </c>
      <c r="L26" s="129">
        <v>0</v>
      </c>
      <c r="M26" s="129">
        <v>0</v>
      </c>
      <c r="N26" s="129">
        <v>0</v>
      </c>
      <c r="O26" s="129">
        <v>0</v>
      </c>
      <c r="P26" s="129">
        <v>0</v>
      </c>
      <c r="Q26" s="129">
        <v>0</v>
      </c>
      <c r="R26" s="129">
        <v>0</v>
      </c>
      <c r="S26" s="129">
        <v>0</v>
      </c>
      <c r="T26" s="129">
        <v>0</v>
      </c>
      <c r="U26" s="129">
        <v>0</v>
      </c>
      <c r="V26" s="129">
        <v>0</v>
      </c>
      <c r="W26" s="129">
        <v>0</v>
      </c>
      <c r="X26" s="129">
        <v>0</v>
      </c>
      <c r="Y26" s="129">
        <v>0</v>
      </c>
      <c r="Z26" s="129">
        <v>0</v>
      </c>
      <c r="AA26" s="129">
        <v>0</v>
      </c>
      <c r="AB26" s="129">
        <v>0</v>
      </c>
      <c r="AC26" s="129">
        <v>1</v>
      </c>
      <c r="AD26" s="129">
        <v>0</v>
      </c>
      <c r="AE26" s="129">
        <v>0</v>
      </c>
      <c r="AF26" s="130">
        <v>0</v>
      </c>
    </row>
    <row r="27" spans="1:32" ht="14.5" x14ac:dyDescent="0.35">
      <c r="A27" s="148" t="s">
        <v>110</v>
      </c>
      <c r="B27" s="131" t="s">
        <v>81</v>
      </c>
      <c r="C27" s="129">
        <v>0</v>
      </c>
      <c r="D27" s="129">
        <v>0</v>
      </c>
      <c r="E27" s="129">
        <v>0</v>
      </c>
      <c r="F27" s="129">
        <v>0</v>
      </c>
      <c r="G27" s="129">
        <v>0</v>
      </c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M27" s="129">
        <v>0</v>
      </c>
      <c r="N27" s="129">
        <v>0</v>
      </c>
      <c r="O27" s="129">
        <v>0</v>
      </c>
      <c r="P27" s="129">
        <v>0</v>
      </c>
      <c r="Q27" s="129">
        <v>0</v>
      </c>
      <c r="R27" s="129">
        <v>0</v>
      </c>
      <c r="S27" s="129">
        <v>0</v>
      </c>
      <c r="T27" s="129">
        <v>0</v>
      </c>
      <c r="U27" s="129">
        <v>0</v>
      </c>
      <c r="V27" s="129">
        <v>0</v>
      </c>
      <c r="W27" s="129">
        <v>0</v>
      </c>
      <c r="X27" s="129">
        <v>0</v>
      </c>
      <c r="Y27" s="129">
        <v>0</v>
      </c>
      <c r="Z27" s="129">
        <v>0</v>
      </c>
      <c r="AA27" s="129">
        <v>0</v>
      </c>
      <c r="AB27" s="129">
        <v>0</v>
      </c>
      <c r="AC27" s="129">
        <v>0</v>
      </c>
      <c r="AD27" s="129">
        <v>0</v>
      </c>
      <c r="AE27" s="129">
        <v>0</v>
      </c>
      <c r="AF27" s="130">
        <v>0</v>
      </c>
    </row>
    <row r="28" spans="1:32" ht="14.5" x14ac:dyDescent="0.35">
      <c r="A28" s="148" t="s">
        <v>111</v>
      </c>
      <c r="B28" s="131" t="s">
        <v>82</v>
      </c>
      <c r="C28" s="129">
        <v>0</v>
      </c>
      <c r="D28" s="129">
        <v>0</v>
      </c>
      <c r="E28" s="129">
        <v>0</v>
      </c>
      <c r="F28" s="129">
        <v>0</v>
      </c>
      <c r="G28" s="129">
        <v>0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M28" s="129">
        <v>0</v>
      </c>
      <c r="N28" s="129">
        <v>0</v>
      </c>
      <c r="O28" s="129">
        <v>0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W28" s="129">
        <v>0</v>
      </c>
      <c r="X28" s="129">
        <v>0</v>
      </c>
      <c r="Y28" s="129">
        <v>0</v>
      </c>
      <c r="Z28" s="129">
        <v>0</v>
      </c>
      <c r="AA28" s="129">
        <v>0</v>
      </c>
      <c r="AB28" s="129">
        <v>0</v>
      </c>
      <c r="AC28" s="129">
        <v>0</v>
      </c>
      <c r="AD28" s="129">
        <v>0</v>
      </c>
      <c r="AE28" s="129">
        <v>0</v>
      </c>
      <c r="AF28" s="130">
        <v>0</v>
      </c>
    </row>
    <row r="29" spans="1:32" ht="14.5" x14ac:dyDescent="0.35">
      <c r="A29" s="148" t="s">
        <v>112</v>
      </c>
      <c r="B29" s="131" t="s">
        <v>83</v>
      </c>
      <c r="C29" s="129">
        <v>0</v>
      </c>
      <c r="D29" s="129">
        <v>0</v>
      </c>
      <c r="E29" s="129">
        <v>0</v>
      </c>
      <c r="F29" s="129">
        <v>0</v>
      </c>
      <c r="G29" s="129">
        <v>0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M29" s="129">
        <v>0</v>
      </c>
      <c r="N29" s="129">
        <v>0</v>
      </c>
      <c r="O29" s="129">
        <v>0</v>
      </c>
      <c r="P29" s="129">
        <v>0</v>
      </c>
      <c r="Q29" s="129">
        <v>0</v>
      </c>
      <c r="R29" s="129">
        <v>0</v>
      </c>
      <c r="S29" s="129">
        <v>0</v>
      </c>
      <c r="T29" s="129">
        <v>0</v>
      </c>
      <c r="U29" s="129">
        <v>0</v>
      </c>
      <c r="V29" s="129">
        <v>0</v>
      </c>
      <c r="W29" s="129">
        <v>0</v>
      </c>
      <c r="X29" s="129">
        <v>0</v>
      </c>
      <c r="Y29" s="129">
        <v>0</v>
      </c>
      <c r="Z29" s="129">
        <v>0</v>
      </c>
      <c r="AA29" s="129">
        <v>0</v>
      </c>
      <c r="AB29" s="129">
        <v>0</v>
      </c>
      <c r="AC29" s="129">
        <v>0</v>
      </c>
      <c r="AD29" s="129">
        <v>0</v>
      </c>
      <c r="AE29" s="129">
        <v>0</v>
      </c>
      <c r="AF29" s="130">
        <v>0</v>
      </c>
    </row>
    <row r="30" spans="1:32" ht="14.5" x14ac:dyDescent="0.35">
      <c r="A30" s="148" t="s">
        <v>113</v>
      </c>
      <c r="B30" s="131" t="s">
        <v>84</v>
      </c>
      <c r="C30" s="129">
        <v>0</v>
      </c>
      <c r="D30" s="129">
        <v>0</v>
      </c>
      <c r="E30" s="129">
        <v>0</v>
      </c>
      <c r="F30" s="129">
        <v>0</v>
      </c>
      <c r="G30" s="129">
        <v>0</v>
      </c>
      <c r="H30" s="129">
        <v>0</v>
      </c>
      <c r="I30" s="129">
        <v>0</v>
      </c>
      <c r="J30" s="129">
        <v>0</v>
      </c>
      <c r="K30" s="129">
        <v>0</v>
      </c>
      <c r="L30" s="129">
        <v>0</v>
      </c>
      <c r="M30" s="129">
        <v>0</v>
      </c>
      <c r="N30" s="129">
        <v>0</v>
      </c>
      <c r="O30" s="129">
        <v>0</v>
      </c>
      <c r="P30" s="129">
        <v>0</v>
      </c>
      <c r="Q30" s="129">
        <v>0</v>
      </c>
      <c r="R30" s="129">
        <v>0</v>
      </c>
      <c r="S30" s="129">
        <v>0</v>
      </c>
      <c r="T30" s="129">
        <v>0</v>
      </c>
      <c r="U30" s="129">
        <v>0</v>
      </c>
      <c r="V30" s="129">
        <v>0</v>
      </c>
      <c r="W30" s="129">
        <v>0</v>
      </c>
      <c r="X30" s="129">
        <v>0</v>
      </c>
      <c r="Y30" s="129">
        <v>0</v>
      </c>
      <c r="Z30" s="129">
        <v>0</v>
      </c>
      <c r="AA30" s="129">
        <v>0</v>
      </c>
      <c r="AB30" s="129">
        <v>0</v>
      </c>
      <c r="AC30" s="129">
        <v>0</v>
      </c>
      <c r="AD30" s="129">
        <v>0</v>
      </c>
      <c r="AE30" s="129">
        <v>0</v>
      </c>
      <c r="AF30" s="130">
        <v>0</v>
      </c>
    </row>
    <row r="31" spans="1:32" ht="14.5" x14ac:dyDescent="0.35">
      <c r="A31" s="148" t="s">
        <v>114</v>
      </c>
      <c r="B31" s="131" t="s">
        <v>85</v>
      </c>
      <c r="C31" s="129">
        <v>0</v>
      </c>
      <c r="D31" s="129">
        <v>0</v>
      </c>
      <c r="E31" s="129">
        <v>0</v>
      </c>
      <c r="F31" s="129">
        <v>0</v>
      </c>
      <c r="G31" s="129">
        <v>0</v>
      </c>
      <c r="H31" s="129">
        <v>0</v>
      </c>
      <c r="I31" s="129">
        <v>0</v>
      </c>
      <c r="J31" s="129">
        <v>0</v>
      </c>
      <c r="K31" s="129">
        <v>0</v>
      </c>
      <c r="L31" s="129">
        <v>0</v>
      </c>
      <c r="M31" s="129">
        <v>0</v>
      </c>
      <c r="N31" s="129">
        <v>0</v>
      </c>
      <c r="O31" s="129">
        <v>0</v>
      </c>
      <c r="P31" s="129">
        <v>0</v>
      </c>
      <c r="Q31" s="129">
        <v>0</v>
      </c>
      <c r="R31" s="129">
        <v>0</v>
      </c>
      <c r="S31" s="129">
        <v>0</v>
      </c>
      <c r="T31" s="129">
        <v>0</v>
      </c>
      <c r="U31" s="129">
        <v>0</v>
      </c>
      <c r="V31" s="129">
        <v>0</v>
      </c>
      <c r="W31" s="129">
        <v>0</v>
      </c>
      <c r="X31" s="129">
        <v>0</v>
      </c>
      <c r="Y31" s="129">
        <v>0</v>
      </c>
      <c r="Z31" s="129">
        <v>0</v>
      </c>
      <c r="AA31" s="129">
        <v>0</v>
      </c>
      <c r="AB31" s="129">
        <v>0</v>
      </c>
      <c r="AC31" s="129">
        <v>0</v>
      </c>
      <c r="AD31" s="129">
        <v>0</v>
      </c>
      <c r="AE31" s="129">
        <v>0</v>
      </c>
      <c r="AF31" s="130">
        <v>0</v>
      </c>
    </row>
    <row r="32" spans="1:32" ht="14.5" x14ac:dyDescent="0.35">
      <c r="A32" s="149" t="s">
        <v>115</v>
      </c>
      <c r="B32" s="132" t="s">
        <v>86</v>
      </c>
      <c r="C32" s="133">
        <v>0</v>
      </c>
      <c r="D32" s="133">
        <v>0</v>
      </c>
      <c r="E32" s="133">
        <v>0</v>
      </c>
      <c r="F32" s="133">
        <v>0</v>
      </c>
      <c r="G32" s="133">
        <v>0</v>
      </c>
      <c r="H32" s="133">
        <v>0</v>
      </c>
      <c r="I32" s="133">
        <v>0</v>
      </c>
      <c r="J32" s="133">
        <v>0</v>
      </c>
      <c r="K32" s="133">
        <v>0</v>
      </c>
      <c r="L32" s="133">
        <v>0</v>
      </c>
      <c r="M32" s="133">
        <v>0</v>
      </c>
      <c r="N32" s="133">
        <v>0</v>
      </c>
      <c r="O32" s="133">
        <v>0</v>
      </c>
      <c r="P32" s="133">
        <v>0</v>
      </c>
      <c r="Q32" s="133">
        <v>0</v>
      </c>
      <c r="R32" s="133">
        <v>0</v>
      </c>
      <c r="S32" s="133">
        <v>0</v>
      </c>
      <c r="T32" s="133">
        <v>0</v>
      </c>
      <c r="U32" s="133">
        <v>0</v>
      </c>
      <c r="V32" s="133">
        <v>0</v>
      </c>
      <c r="W32" s="133">
        <v>0</v>
      </c>
      <c r="X32" s="133">
        <v>0</v>
      </c>
      <c r="Y32" s="133">
        <v>0</v>
      </c>
      <c r="Z32" s="133">
        <v>0</v>
      </c>
      <c r="AA32" s="133">
        <v>0</v>
      </c>
      <c r="AB32" s="133">
        <v>0</v>
      </c>
      <c r="AC32" s="133">
        <v>0</v>
      </c>
      <c r="AD32" s="133">
        <v>0</v>
      </c>
      <c r="AE32" s="133">
        <v>0</v>
      </c>
      <c r="AF32" s="134">
        <v>0</v>
      </c>
    </row>
  </sheetData>
  <mergeCells count="2">
    <mergeCell ref="A1:AF1"/>
    <mergeCell ref="AG2:AG15"/>
  </mergeCells>
  <phoneticPr fontId="26" type="noConversion"/>
  <conditionalFormatting sqref="B2:AF32">
    <cfRule type="cellIs" dxfId="0" priority="1" stopIfTrue="1" operator="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F016-EE5E-4066-B0B9-D3974B31AE6C}">
  <dimension ref="B2:K25"/>
  <sheetViews>
    <sheetView workbookViewId="0"/>
  </sheetViews>
  <sheetFormatPr baseColWidth="10" defaultColWidth="11.26953125" defaultRowHeight="12.5" x14ac:dyDescent="0.25"/>
  <cols>
    <col min="1" max="1" width="2.26953125" style="210" customWidth="1"/>
    <col min="2" max="16384" width="11.26953125" style="210"/>
  </cols>
  <sheetData>
    <row r="2" spans="2:11" ht="14.5" x14ac:dyDescent="0.25">
      <c r="B2" s="205" t="s">
        <v>161</v>
      </c>
      <c r="C2" s="206" t="s">
        <v>162</v>
      </c>
      <c r="D2" s="206" t="s">
        <v>162</v>
      </c>
      <c r="E2" s="206" t="s">
        <v>163</v>
      </c>
      <c r="F2" s="206" t="s">
        <v>163</v>
      </c>
      <c r="G2" s="206" t="s">
        <v>164</v>
      </c>
      <c r="H2" s="206" t="s">
        <v>164</v>
      </c>
      <c r="I2" s="206"/>
      <c r="J2" s="206" t="s">
        <v>156</v>
      </c>
      <c r="K2" s="207"/>
    </row>
    <row r="3" spans="2:11" ht="14.5" x14ac:dyDescent="0.35">
      <c r="B3" s="213" t="s">
        <v>165</v>
      </c>
      <c r="C3" s="215" t="s">
        <v>166</v>
      </c>
      <c r="D3" s="215" t="s">
        <v>167</v>
      </c>
      <c r="E3" s="215" t="s">
        <v>166</v>
      </c>
      <c r="F3" s="215" t="s">
        <v>167</v>
      </c>
      <c r="G3" s="215" t="s">
        <v>166</v>
      </c>
      <c r="H3" s="215" t="s">
        <v>167</v>
      </c>
      <c r="I3" s="215"/>
      <c r="J3" s="215"/>
      <c r="K3" s="214"/>
    </row>
    <row r="4" spans="2:11" ht="14.5" x14ac:dyDescent="0.35">
      <c r="B4" s="209"/>
      <c r="C4" s="216"/>
      <c r="D4" s="216"/>
      <c r="E4" s="216"/>
      <c r="F4" s="216"/>
      <c r="G4" s="216"/>
      <c r="H4" s="216"/>
      <c r="I4" s="216"/>
      <c r="J4" s="216" t="s">
        <v>177</v>
      </c>
      <c r="K4" s="212"/>
    </row>
    <row r="5" spans="2:11" ht="14.5" x14ac:dyDescent="0.35">
      <c r="B5" s="137" t="s">
        <v>168</v>
      </c>
      <c r="C5" s="202">
        <f>E21+F21+H21</f>
        <v>250</v>
      </c>
      <c r="D5" s="202">
        <f>E21+F21+H21</f>
        <v>250</v>
      </c>
      <c r="E5" s="202">
        <v>1.5</v>
      </c>
      <c r="F5" s="202">
        <v>1.5</v>
      </c>
      <c r="G5" s="211">
        <f t="shared" ref="G5:H8" si="0">E5*1000/C5</f>
        <v>6</v>
      </c>
      <c r="H5" s="211">
        <f t="shared" si="0"/>
        <v>6</v>
      </c>
      <c r="I5" s="202"/>
      <c r="J5" s="202"/>
      <c r="K5" s="212"/>
    </row>
    <row r="6" spans="2:11" ht="14.5" x14ac:dyDescent="0.35">
      <c r="B6" s="137" t="s">
        <v>169</v>
      </c>
      <c r="C6" s="202">
        <f>E22+F22+H22</f>
        <v>3870</v>
      </c>
      <c r="D6" s="202">
        <f>E23+F23+H23</f>
        <v>4710</v>
      </c>
      <c r="E6" s="202">
        <v>25</v>
      </c>
      <c r="F6" s="202">
        <v>30</v>
      </c>
      <c r="G6" s="211">
        <f t="shared" si="0"/>
        <v>6.4599483204134369</v>
      </c>
      <c r="H6" s="211">
        <f t="shared" si="0"/>
        <v>6.369426751592357</v>
      </c>
      <c r="I6" s="202"/>
      <c r="J6" s="202"/>
      <c r="K6" s="212"/>
    </row>
    <row r="7" spans="2:11" ht="14.5" x14ac:dyDescent="0.35">
      <c r="B7" s="137" t="s">
        <v>170</v>
      </c>
      <c r="C7" s="202">
        <f>C21+D21+G21</f>
        <v>2380</v>
      </c>
      <c r="D7" s="202">
        <f>C21+D21+G21</f>
        <v>2380</v>
      </c>
      <c r="E7" s="202">
        <v>10</v>
      </c>
      <c r="F7" s="202">
        <v>10</v>
      </c>
      <c r="G7" s="211">
        <f t="shared" si="0"/>
        <v>4.2016806722689077</v>
      </c>
      <c r="H7" s="211">
        <f t="shared" si="0"/>
        <v>4.2016806722689077</v>
      </c>
      <c r="I7" s="202"/>
      <c r="J7" s="202"/>
      <c r="K7" s="212"/>
    </row>
    <row r="8" spans="2:11" ht="14.5" x14ac:dyDescent="0.35">
      <c r="B8" s="137" t="s">
        <v>171</v>
      </c>
      <c r="C8" s="202">
        <f>C22+D22+G22</f>
        <v>5060</v>
      </c>
      <c r="D8" s="202">
        <f>C23+D23+G23</f>
        <v>5370</v>
      </c>
      <c r="E8" s="202">
        <v>15.5</v>
      </c>
      <c r="F8" s="202">
        <v>16.5</v>
      </c>
      <c r="G8" s="211">
        <f t="shared" si="0"/>
        <v>3.0632411067193677</v>
      </c>
      <c r="H8" s="211">
        <f t="shared" si="0"/>
        <v>3.0726256983240225</v>
      </c>
      <c r="I8" s="202"/>
      <c r="J8" s="202"/>
      <c r="K8" s="212"/>
    </row>
    <row r="9" spans="2:11" ht="14.5" x14ac:dyDescent="0.35">
      <c r="B9" s="137"/>
      <c r="C9" s="202"/>
      <c r="D9" s="202"/>
      <c r="E9" s="202"/>
      <c r="F9" s="202"/>
      <c r="G9" s="211"/>
      <c r="H9" s="211"/>
      <c r="I9" s="202"/>
      <c r="J9" s="202"/>
      <c r="K9" s="212"/>
    </row>
    <row r="10" spans="2:11" ht="14.5" x14ac:dyDescent="0.35">
      <c r="B10" s="137" t="s">
        <v>172</v>
      </c>
      <c r="C10" s="202">
        <f>E24+F24+H24</f>
        <v>4120</v>
      </c>
      <c r="D10" s="202">
        <f>E25+F25+H25</f>
        <v>4960</v>
      </c>
      <c r="E10" s="202">
        <f>E6+E5</f>
        <v>26.5</v>
      </c>
      <c r="F10" s="202">
        <f>F6+F5</f>
        <v>31.5</v>
      </c>
      <c r="G10" s="211">
        <f>E10*1000/C10</f>
        <v>6.4320388349514559</v>
      </c>
      <c r="H10" s="211">
        <f>F10*1000/D10</f>
        <v>6.350806451612903</v>
      </c>
      <c r="I10" s="202"/>
      <c r="J10" s="202"/>
      <c r="K10" s="212"/>
    </row>
    <row r="11" spans="2:11" ht="14.5" x14ac:dyDescent="0.35">
      <c r="B11" s="137" t="s">
        <v>173</v>
      </c>
      <c r="C11" s="202">
        <f>C24+D24+G24</f>
        <v>7440</v>
      </c>
      <c r="D11" s="202">
        <f>C25+D25+G25</f>
        <v>7750</v>
      </c>
      <c r="E11" s="202">
        <f>E8+E7</f>
        <v>25.5</v>
      </c>
      <c r="F11" s="202">
        <f>F8+F7</f>
        <v>26.5</v>
      </c>
      <c r="G11" s="211">
        <f>E11*1000/C11</f>
        <v>3.4274193548387095</v>
      </c>
      <c r="H11" s="211">
        <f>F11*1000/D11</f>
        <v>3.4193548387096775</v>
      </c>
      <c r="I11" s="202"/>
      <c r="J11" s="202"/>
      <c r="K11" s="212"/>
    </row>
    <row r="12" spans="2:11" ht="14.5" x14ac:dyDescent="0.35">
      <c r="B12" s="137"/>
      <c r="C12" s="202"/>
      <c r="D12" s="202"/>
      <c r="E12" s="202"/>
      <c r="F12" s="202"/>
      <c r="G12" s="211"/>
      <c r="H12" s="211"/>
      <c r="I12" s="202"/>
      <c r="J12" s="202"/>
      <c r="K12" s="212"/>
    </row>
    <row r="13" spans="2:11" ht="14.5" x14ac:dyDescent="0.35">
      <c r="B13" s="137" t="s">
        <v>174</v>
      </c>
      <c r="C13" s="202">
        <f t="shared" ref="C13:F14" si="1">C5+C7</f>
        <v>2630</v>
      </c>
      <c r="D13" s="202">
        <f t="shared" si="1"/>
        <v>2630</v>
      </c>
      <c r="E13" s="202">
        <f t="shared" si="1"/>
        <v>11.5</v>
      </c>
      <c r="F13" s="202">
        <f t="shared" si="1"/>
        <v>11.5</v>
      </c>
      <c r="G13" s="211">
        <f>E13*1000/C13</f>
        <v>4.3726235741444865</v>
      </c>
      <c r="H13" s="211">
        <f>F13*1000/D13</f>
        <v>4.3726235741444865</v>
      </c>
      <c r="I13" s="202"/>
      <c r="J13" s="202"/>
      <c r="K13" s="212"/>
    </row>
    <row r="14" spans="2:11" ht="14.5" x14ac:dyDescent="0.35">
      <c r="B14" s="137" t="s">
        <v>175</v>
      </c>
      <c r="C14" s="202">
        <f t="shared" si="1"/>
        <v>8930</v>
      </c>
      <c r="D14" s="202">
        <f t="shared" si="1"/>
        <v>10080</v>
      </c>
      <c r="E14" s="202">
        <f t="shared" si="1"/>
        <v>40.5</v>
      </c>
      <c r="F14" s="202">
        <f t="shared" si="1"/>
        <v>46.5</v>
      </c>
      <c r="G14" s="211">
        <f>E14*1000/C14</f>
        <v>4.5352743561030238</v>
      </c>
      <c r="H14" s="211">
        <f>F14*1000/D14</f>
        <v>4.6130952380952381</v>
      </c>
      <c r="I14" s="202"/>
      <c r="J14" s="202"/>
      <c r="K14" s="212"/>
    </row>
    <row r="15" spans="2:11" ht="14.5" x14ac:dyDescent="0.35">
      <c r="B15" s="137"/>
      <c r="C15" s="202"/>
      <c r="D15" s="202"/>
      <c r="E15" s="202"/>
      <c r="F15" s="202"/>
      <c r="G15" s="211"/>
      <c r="H15" s="211"/>
      <c r="I15" s="202"/>
      <c r="J15" s="202"/>
      <c r="K15" s="212"/>
    </row>
    <row r="16" spans="2:11" ht="14.5" x14ac:dyDescent="0.35">
      <c r="B16" s="137" t="s">
        <v>176</v>
      </c>
      <c r="C16" s="202">
        <f>SUM(C5:C8)</f>
        <v>11560</v>
      </c>
      <c r="D16" s="202">
        <f>SUM(D5:D8)</f>
        <v>12710</v>
      </c>
      <c r="E16" s="202">
        <v>52</v>
      </c>
      <c r="F16" s="202">
        <v>58</v>
      </c>
      <c r="G16" s="211">
        <f>E16*1000/C16</f>
        <v>4.4982698961937713</v>
      </c>
      <c r="H16" s="211">
        <f>F16*1000/D16</f>
        <v>4.5633359559402047</v>
      </c>
      <c r="I16" s="202"/>
      <c r="J16" s="202"/>
      <c r="K16" s="212"/>
    </row>
    <row r="17" spans="2:11" ht="14.5" x14ac:dyDescent="0.35">
      <c r="B17" s="137"/>
      <c r="C17" s="202"/>
      <c r="D17" s="202"/>
      <c r="E17" s="202"/>
      <c r="F17" s="202"/>
      <c r="G17" s="202"/>
      <c r="H17" s="202"/>
      <c r="I17" s="202"/>
      <c r="J17" s="202"/>
      <c r="K17" s="212"/>
    </row>
    <row r="18" spans="2:11" ht="14.5" x14ac:dyDescent="0.35">
      <c r="B18" s="137"/>
      <c r="C18" s="202"/>
      <c r="D18" s="202"/>
      <c r="E18" s="202"/>
      <c r="F18" s="202"/>
      <c r="G18" s="202"/>
      <c r="H18" s="202"/>
      <c r="I18" s="202"/>
      <c r="J18" s="202"/>
      <c r="K18" s="212"/>
    </row>
    <row r="19" spans="2:11" ht="14.5" x14ac:dyDescent="0.35">
      <c r="B19" s="213"/>
      <c r="C19" s="215" t="s">
        <v>178</v>
      </c>
      <c r="D19" s="215" t="s">
        <v>178</v>
      </c>
      <c r="E19" s="215" t="s">
        <v>179</v>
      </c>
      <c r="F19" s="215" t="s">
        <v>179</v>
      </c>
      <c r="G19" s="215" t="s">
        <v>180</v>
      </c>
      <c r="H19" s="215" t="s">
        <v>181</v>
      </c>
      <c r="I19" s="215" t="s">
        <v>176</v>
      </c>
      <c r="J19" s="215"/>
      <c r="K19" s="217"/>
    </row>
    <row r="20" spans="2:11" ht="14.5" x14ac:dyDescent="0.35">
      <c r="B20" s="213" t="s">
        <v>243</v>
      </c>
      <c r="C20" s="215" t="s">
        <v>182</v>
      </c>
      <c r="D20" s="215" t="s">
        <v>183</v>
      </c>
      <c r="E20" s="215" t="s">
        <v>182</v>
      </c>
      <c r="F20" s="215" t="s">
        <v>183</v>
      </c>
      <c r="G20" s="215"/>
      <c r="H20" s="215"/>
      <c r="I20" s="215"/>
      <c r="J20" s="215"/>
      <c r="K20" s="217"/>
    </row>
    <row r="21" spans="2:11" ht="14.5" x14ac:dyDescent="0.35">
      <c r="B21" s="137" t="s">
        <v>174</v>
      </c>
      <c r="C21" s="202">
        <v>130</v>
      </c>
      <c r="D21" s="202">
        <v>1650</v>
      </c>
      <c r="E21" s="202">
        <v>0</v>
      </c>
      <c r="F21" s="202">
        <v>0</v>
      </c>
      <c r="G21" s="202">
        <v>600</v>
      </c>
      <c r="H21" s="202">
        <v>250</v>
      </c>
      <c r="I21" s="202">
        <v>2630</v>
      </c>
      <c r="J21" s="202"/>
      <c r="K21" s="212"/>
    </row>
    <row r="22" spans="2:11" ht="14.5" x14ac:dyDescent="0.35">
      <c r="B22" s="137" t="s">
        <v>184</v>
      </c>
      <c r="C22" s="202">
        <v>1680</v>
      </c>
      <c r="D22" s="202">
        <v>2950</v>
      </c>
      <c r="E22" s="202">
        <v>300</v>
      </c>
      <c r="F22" s="202">
        <v>40</v>
      </c>
      <c r="G22" s="202">
        <v>430</v>
      </c>
      <c r="H22" s="202">
        <v>3530</v>
      </c>
      <c r="I22" s="202">
        <v>8930</v>
      </c>
      <c r="J22" s="202"/>
      <c r="K22" s="212"/>
    </row>
    <row r="23" spans="2:11" ht="14.5" x14ac:dyDescent="0.35">
      <c r="B23" s="137" t="s">
        <v>185</v>
      </c>
      <c r="C23" s="202">
        <v>1680</v>
      </c>
      <c r="D23" s="202">
        <v>3150</v>
      </c>
      <c r="E23" s="202">
        <v>300</v>
      </c>
      <c r="F23" s="202">
        <v>580</v>
      </c>
      <c r="G23" s="202">
        <v>540</v>
      </c>
      <c r="H23" s="202">
        <v>3830</v>
      </c>
      <c r="I23" s="202">
        <v>10080</v>
      </c>
      <c r="J23" s="202"/>
      <c r="K23" s="212"/>
    </row>
    <row r="24" spans="2:11" ht="14.5" x14ac:dyDescent="0.35">
      <c r="B24" s="137" t="s">
        <v>186</v>
      </c>
      <c r="C24" s="202">
        <v>1810</v>
      </c>
      <c r="D24" s="202">
        <v>4600</v>
      </c>
      <c r="E24" s="202">
        <v>300</v>
      </c>
      <c r="F24" s="202">
        <v>40</v>
      </c>
      <c r="G24" s="202">
        <v>1030</v>
      </c>
      <c r="H24" s="202">
        <v>3780</v>
      </c>
      <c r="I24" s="202">
        <v>11560</v>
      </c>
      <c r="J24" s="202"/>
      <c r="K24" s="212"/>
    </row>
    <row r="25" spans="2:11" ht="14.5" x14ac:dyDescent="0.35">
      <c r="B25" s="138" t="s">
        <v>187</v>
      </c>
      <c r="C25" s="203">
        <v>1810</v>
      </c>
      <c r="D25" s="203">
        <v>4800</v>
      </c>
      <c r="E25" s="203">
        <v>300</v>
      </c>
      <c r="F25" s="203">
        <v>580</v>
      </c>
      <c r="G25" s="203">
        <v>1140</v>
      </c>
      <c r="H25" s="203">
        <v>4080</v>
      </c>
      <c r="I25" s="203">
        <v>12710</v>
      </c>
      <c r="J25" s="203"/>
      <c r="K25" s="204"/>
    </row>
  </sheetData>
  <hyperlinks>
    <hyperlink ref="J4" r:id="rId1" location="page=10" xr:uid="{75D5CC3C-6B09-4898-8383-68014BC3112D}"/>
  </hyperlinks>
  <pageMargins left="0.7" right="0.7" top="0.78740157499999996" bottom="0.78740157499999996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cost</vt:lpstr>
      <vt:lpstr>yload</vt:lpstr>
      <vt:lpstr>fuel</vt:lpstr>
      <vt:lpstr>monthly</vt:lpstr>
      <vt:lpstr>FLH</vt:lpstr>
      <vt:lpstr>REshare</vt:lpstr>
      <vt:lpstr>km</vt:lpstr>
      <vt:lpstr>ACDC</vt:lpstr>
      <vt:lpstr>costgrid</vt:lpstr>
      <vt:lpstr>template (2)</vt:lpstr>
    </vt:vector>
  </TitlesOfParts>
  <Company>Vattenfall Europe Information Services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Cornelis</cp:lastModifiedBy>
  <cp:lastPrinted>2011-01-13T14:31:52Z</cp:lastPrinted>
  <dcterms:created xsi:type="dcterms:W3CDTF">2010-06-14T10:58:18Z</dcterms:created>
  <dcterms:modified xsi:type="dcterms:W3CDTF">2022-02-15T15:33:37Z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_AdHocReviewCycleID">
    <vt:i4>-239249793</vt:i4>
  </property>
  <property fmtid="{D5CDD505-2E9C-101B-9397-08002B2CF9AE}" pid="4" name="_NewReviewCycle">
    <vt:lpwstr/>
  </property>
  <property fmtid="{D5CDD505-2E9C-101B-9397-08002B2CF9AE}" pid="5" name="_EmailSubject">
    <vt:lpwstr/>
  </property>
  <property fmtid="{D5CDD505-2E9C-101B-9397-08002B2CF9AE}" pid="6" name="_AuthorEmail">
    <vt:lpwstr>peter.kaempfer@vattenfall.de</vt:lpwstr>
  </property>
  <property fmtid="{D5CDD505-2E9C-101B-9397-08002B2CF9AE}" pid="7" name="_AuthorEmailDisplayName">
    <vt:lpwstr>Kämpfer Peter (AE-D)</vt:lpwstr>
  </property>
  <property fmtid="{D5CDD505-2E9C-101B-9397-08002B2CF9AE}" pid="8" name="_PreviousAdHocReviewCycleID">
    <vt:i4>1220656457</vt:i4>
  </property>
  <property fmtid="{D5CDD505-2E9C-101B-9397-08002B2CF9AE}" pid="9" name="_ReviewingToolsShownOnce">
    <vt:lpwstr/>
  </property>
</Properties>
</file>