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1.SALMON COORDINATION\STOCK ASSESSMENT\"/>
    </mc:Choice>
  </mc:AlternateContent>
  <bookViews>
    <workbookView xWindow="0" yWindow="0" windowWidth="28800" windowHeight="12156" firstSheet="3" activeTab="8"/>
  </bookViews>
  <sheets>
    <sheet name="read-me" sheetId="11" r:id="rId1"/>
    <sheet name="fcs" sheetId="1" r:id="rId2"/>
    <sheet name="for_gb" sheetId="2" r:id="rId3"/>
    <sheet name="Model_parameters" sheetId="5" r:id="rId4"/>
    <sheet name="Summary_Table" sheetId="13" r:id="rId5"/>
    <sheet name="S-R_analysis_SMU" sheetId="7" r:id="rId6"/>
    <sheet name="S-R SWVI" sheetId="12" r:id="rId7"/>
    <sheet name="S-R_NO_KY" sheetId="9" r:id="rId8"/>
    <sheet name="S-R-NWV(" sheetId="10" r:id="rId9"/>
    <sheet name="habitat_bench" sheetId="4" r:id="rId10"/>
    <sheet name="raw_esc_est" sheetId="6" r:id="rId11"/>
  </sheets>
  <calcPr calcId="162913"/>
</workbook>
</file>

<file path=xl/calcChain.xml><?xml version="1.0" encoding="utf-8"?>
<calcChain xmlns="http://schemas.openxmlformats.org/spreadsheetml/2006/main">
  <c r="P40" i="10" l="1"/>
  <c r="P40" i="7" l="1"/>
  <c r="P40" i="12"/>
  <c r="Q40" i="12"/>
  <c r="R40" i="12" s="1"/>
  <c r="S40" i="12"/>
  <c r="T40" i="12" s="1"/>
  <c r="K45" i="12"/>
  <c r="L45" i="12"/>
  <c r="M45" i="12"/>
  <c r="N45" i="12"/>
  <c r="O45" i="12"/>
  <c r="P40" i="9"/>
  <c r="T40" i="9"/>
  <c r="S40" i="9"/>
  <c r="K45" i="9"/>
  <c r="L45" i="9"/>
  <c r="M45" i="9"/>
  <c r="N45" i="9"/>
  <c r="O45" i="9"/>
  <c r="P39" i="10"/>
  <c r="Q40" i="10"/>
  <c r="R40" i="10" s="1"/>
  <c r="S40" i="10"/>
  <c r="T40" i="10" s="1"/>
  <c r="N45" i="10"/>
  <c r="N44" i="10"/>
  <c r="L44" i="10"/>
  <c r="L45" i="10"/>
  <c r="M45" i="10"/>
  <c r="O45" i="10"/>
  <c r="K45" i="10"/>
  <c r="P39" i="12"/>
  <c r="B45" i="10"/>
  <c r="B45" i="9"/>
  <c r="B45" i="12"/>
  <c r="Q40" i="9" l="1"/>
  <c r="R40" i="9" s="1"/>
  <c r="B44" i="7" l="1"/>
  <c r="G91" i="7" l="1"/>
  <c r="K45" i="7" l="1"/>
  <c r="S39" i="7" l="1"/>
  <c r="S40" i="7"/>
  <c r="Q39" i="7"/>
  <c r="P36" i="7"/>
  <c r="P39" i="7"/>
  <c r="O45" i="7"/>
  <c r="N45" i="7"/>
  <c r="Q40" i="7" s="1"/>
  <c r="R40" i="7" s="1"/>
  <c r="M45" i="7"/>
  <c r="L45" i="7"/>
  <c r="K44" i="7"/>
  <c r="B45" i="7"/>
  <c r="T40" i="7" l="1"/>
  <c r="N42" i="7"/>
  <c r="P10" i="7" l="1"/>
  <c r="Q10" i="7"/>
  <c r="R61" i="7" l="1"/>
  <c r="R60" i="7"/>
  <c r="C10" i="13"/>
  <c r="C9" i="13"/>
  <c r="B10" i="13"/>
  <c r="B10" i="4"/>
  <c r="B9" i="13"/>
  <c r="O60" i="10"/>
  <c r="O64" i="10"/>
  <c r="O44" i="10"/>
  <c r="Q39" i="10"/>
  <c r="R39" i="10" s="1"/>
  <c r="M44" i="10"/>
  <c r="K44" i="10"/>
  <c r="B44" i="10"/>
  <c r="O43" i="10"/>
  <c r="N43" i="10"/>
  <c r="M43" i="10"/>
  <c r="L43" i="10"/>
  <c r="K43" i="10"/>
  <c r="B43" i="10"/>
  <c r="O42" i="10"/>
  <c r="N42" i="10"/>
  <c r="M42" i="10"/>
  <c r="L42" i="10"/>
  <c r="K42" i="10"/>
  <c r="B42" i="10"/>
  <c r="O41" i="10"/>
  <c r="N41" i="10"/>
  <c r="M41" i="10"/>
  <c r="L41" i="10"/>
  <c r="K41" i="10"/>
  <c r="B41" i="10"/>
  <c r="O40" i="10"/>
  <c r="N40" i="10"/>
  <c r="M40" i="10"/>
  <c r="L40" i="10"/>
  <c r="K40" i="10"/>
  <c r="B40" i="10"/>
  <c r="O39" i="10"/>
  <c r="N39" i="10"/>
  <c r="M39" i="10"/>
  <c r="P35" i="10" s="1"/>
  <c r="L39" i="10"/>
  <c r="K39" i="10"/>
  <c r="B39" i="10"/>
  <c r="O38" i="10"/>
  <c r="N38" i="10"/>
  <c r="M38" i="10"/>
  <c r="L38" i="10"/>
  <c r="K38" i="10"/>
  <c r="B38" i="10"/>
  <c r="O37" i="10"/>
  <c r="N37" i="10"/>
  <c r="M37" i="10"/>
  <c r="L37" i="10"/>
  <c r="K37" i="10"/>
  <c r="B37" i="10"/>
  <c r="O36" i="10"/>
  <c r="N36" i="10"/>
  <c r="M36" i="10"/>
  <c r="L36" i="10"/>
  <c r="K36" i="10"/>
  <c r="P34" i="10" s="1"/>
  <c r="B36" i="10"/>
  <c r="O35" i="10"/>
  <c r="N35" i="10"/>
  <c r="M35" i="10"/>
  <c r="L35" i="10"/>
  <c r="K35" i="10"/>
  <c r="B35" i="10"/>
  <c r="AD34" i="10"/>
  <c r="O34" i="10"/>
  <c r="N34" i="10"/>
  <c r="M34" i="10"/>
  <c r="L34" i="10"/>
  <c r="K34" i="10"/>
  <c r="B34" i="10"/>
  <c r="AE33" i="10"/>
  <c r="AD33" i="10"/>
  <c r="O33" i="10"/>
  <c r="N33" i="10"/>
  <c r="M33" i="10"/>
  <c r="L33" i="10"/>
  <c r="K33" i="10"/>
  <c r="B33" i="10"/>
  <c r="AE32" i="10"/>
  <c r="AD32" i="10"/>
  <c r="O32" i="10"/>
  <c r="N32" i="10"/>
  <c r="M32" i="10"/>
  <c r="L32" i="10"/>
  <c r="K32" i="10"/>
  <c r="B32" i="10"/>
  <c r="AE31" i="10"/>
  <c r="O31" i="10"/>
  <c r="N31" i="10"/>
  <c r="M31" i="10"/>
  <c r="L31" i="10"/>
  <c r="P28" i="10" s="1"/>
  <c r="K31" i="10"/>
  <c r="B31" i="10"/>
  <c r="O30" i="10"/>
  <c r="N30" i="10"/>
  <c r="M30" i="10"/>
  <c r="L30" i="10"/>
  <c r="K30" i="10"/>
  <c r="B30" i="10"/>
  <c r="O29" i="10"/>
  <c r="N29" i="10"/>
  <c r="M29" i="10"/>
  <c r="L29" i="10"/>
  <c r="K29" i="10"/>
  <c r="B29" i="10"/>
  <c r="O28" i="10"/>
  <c r="N28" i="10"/>
  <c r="M28" i="10"/>
  <c r="L28" i="10"/>
  <c r="K28" i="10"/>
  <c r="B28" i="10"/>
  <c r="P27" i="10"/>
  <c r="Q27" i="10" s="1"/>
  <c r="R27" i="10" s="1"/>
  <c r="O27" i="10"/>
  <c r="N27" i="10"/>
  <c r="M27" i="10"/>
  <c r="P23" i="10" s="1"/>
  <c r="L27" i="10"/>
  <c r="K27" i="10"/>
  <c r="B27" i="10"/>
  <c r="O26" i="10"/>
  <c r="N26" i="10"/>
  <c r="M26" i="10"/>
  <c r="L26" i="10"/>
  <c r="K26" i="10"/>
  <c r="P24" i="10" s="1"/>
  <c r="B26" i="10"/>
  <c r="O25" i="10"/>
  <c r="N25" i="10"/>
  <c r="M25" i="10"/>
  <c r="L25" i="10"/>
  <c r="K25" i="10"/>
  <c r="B25" i="10"/>
  <c r="O24" i="10"/>
  <c r="N24" i="10"/>
  <c r="M24" i="10"/>
  <c r="L24" i="10"/>
  <c r="K24" i="10"/>
  <c r="P22" i="10" s="1"/>
  <c r="B24" i="10"/>
  <c r="O23" i="10"/>
  <c r="N23" i="10"/>
  <c r="M23" i="10"/>
  <c r="L23" i="10"/>
  <c r="K23" i="10"/>
  <c r="B23" i="10"/>
  <c r="O22" i="10"/>
  <c r="N22" i="10"/>
  <c r="M22" i="10"/>
  <c r="L22" i="10"/>
  <c r="K22" i="10"/>
  <c r="B22" i="10"/>
  <c r="O21" i="10"/>
  <c r="N21" i="10"/>
  <c r="M21" i="10"/>
  <c r="L21" i="10"/>
  <c r="K21" i="10"/>
  <c r="B21" i="10"/>
  <c r="O20" i="10"/>
  <c r="N20" i="10"/>
  <c r="P15" i="10" s="1"/>
  <c r="M20" i="10"/>
  <c r="L20" i="10"/>
  <c r="K20" i="10"/>
  <c r="B20" i="10"/>
  <c r="O19" i="10"/>
  <c r="N19" i="10"/>
  <c r="M19" i="10"/>
  <c r="L19" i="10"/>
  <c r="K19" i="10"/>
  <c r="B19" i="10"/>
  <c r="O18" i="10"/>
  <c r="N18" i="10"/>
  <c r="M18" i="10"/>
  <c r="L18" i="10"/>
  <c r="K18" i="10"/>
  <c r="B18" i="10"/>
  <c r="O17" i="10"/>
  <c r="N17" i="10"/>
  <c r="M17" i="10"/>
  <c r="L17" i="10"/>
  <c r="K17" i="10"/>
  <c r="B17" i="10"/>
  <c r="P16" i="10"/>
  <c r="Q16" i="10" s="1"/>
  <c r="R16" i="10" s="1"/>
  <c r="O16" i="10"/>
  <c r="N16" i="10"/>
  <c r="M16" i="10"/>
  <c r="L16" i="10"/>
  <c r="K16" i="10"/>
  <c r="B16" i="10"/>
  <c r="O15" i="10"/>
  <c r="N15" i="10"/>
  <c r="P10" i="10" s="1"/>
  <c r="Q10" i="10" s="1"/>
  <c r="R10" i="10" s="1"/>
  <c r="M15" i="10"/>
  <c r="L15" i="10"/>
  <c r="K15" i="10"/>
  <c r="B15" i="10"/>
  <c r="O14" i="10"/>
  <c r="N14" i="10"/>
  <c r="M14" i="10"/>
  <c r="L14" i="10"/>
  <c r="P11" i="10" s="1"/>
  <c r="Q11" i="10" s="1"/>
  <c r="R11" i="10" s="1"/>
  <c r="K14" i="10"/>
  <c r="B14" i="10"/>
  <c r="O13" i="10"/>
  <c r="N13" i="10"/>
  <c r="M13" i="10"/>
  <c r="L13" i="10"/>
  <c r="K13" i="10"/>
  <c r="O12" i="10"/>
  <c r="N12" i="10"/>
  <c r="M12" i="10"/>
  <c r="L12" i="10"/>
  <c r="K12" i="10"/>
  <c r="O11" i="10"/>
  <c r="N11" i="10"/>
  <c r="M11" i="10"/>
  <c r="L11" i="10"/>
  <c r="K11" i="10"/>
  <c r="O10" i="10"/>
  <c r="N10" i="10"/>
  <c r="M10" i="10"/>
  <c r="L10" i="10"/>
  <c r="K10" i="10"/>
  <c r="O9" i="10"/>
  <c r="N9" i="10"/>
  <c r="M9" i="10"/>
  <c r="L9" i="10"/>
  <c r="K9" i="10"/>
  <c r="O8" i="10"/>
  <c r="O7" i="10"/>
  <c r="P6" i="10"/>
  <c r="O6" i="10"/>
  <c r="P5" i="10"/>
  <c r="O5" i="10"/>
  <c r="P4" i="10"/>
  <c r="O4" i="10"/>
  <c r="O60" i="7"/>
  <c r="B3" i="13" s="1"/>
  <c r="O77" i="7"/>
  <c r="O56" i="12"/>
  <c r="O57" i="7"/>
  <c r="C8" i="13"/>
  <c r="C7" i="13"/>
  <c r="B7" i="13"/>
  <c r="B8" i="13"/>
  <c r="C6" i="13"/>
  <c r="B6" i="13"/>
  <c r="C3" i="13"/>
  <c r="P10" i="9"/>
  <c r="Q10" i="9" s="1"/>
  <c r="R10" i="9" s="1"/>
  <c r="P11" i="9"/>
  <c r="Q11" i="9" s="1"/>
  <c r="R11" i="9" s="1"/>
  <c r="P12" i="9"/>
  <c r="Q12" i="9"/>
  <c r="R12" i="9" s="1"/>
  <c r="P13" i="9"/>
  <c r="Q13" i="9"/>
  <c r="R13" i="9"/>
  <c r="P14" i="9"/>
  <c r="Q14" i="9" s="1"/>
  <c r="R14" i="9" s="1"/>
  <c r="P15" i="9"/>
  <c r="Q15" i="9" s="1"/>
  <c r="R15" i="9" s="1"/>
  <c r="P16" i="9"/>
  <c r="Q16" i="9"/>
  <c r="R16" i="9" s="1"/>
  <c r="P17" i="9"/>
  <c r="Q17" i="9"/>
  <c r="R17" i="9"/>
  <c r="P18" i="9"/>
  <c r="Q18" i="9" s="1"/>
  <c r="R18" i="9" s="1"/>
  <c r="P19" i="9"/>
  <c r="Q19" i="9" s="1"/>
  <c r="R19" i="9" s="1"/>
  <c r="O44" i="9"/>
  <c r="N44" i="9"/>
  <c r="M44" i="9"/>
  <c r="L44" i="9"/>
  <c r="K44" i="9"/>
  <c r="B44" i="9"/>
  <c r="O43" i="9"/>
  <c r="N43" i="9"/>
  <c r="M43" i="9"/>
  <c r="L43" i="9"/>
  <c r="K43" i="9"/>
  <c r="B43" i="9"/>
  <c r="O42" i="9"/>
  <c r="N42" i="9"/>
  <c r="M42" i="9"/>
  <c r="L42" i="9"/>
  <c r="P39" i="9" s="1"/>
  <c r="K42" i="9"/>
  <c r="B42" i="9"/>
  <c r="O41" i="9"/>
  <c r="N41" i="9"/>
  <c r="P36" i="9" s="1"/>
  <c r="Q36" i="9" s="1"/>
  <c r="R36" i="9" s="1"/>
  <c r="M41" i="9"/>
  <c r="L41" i="9"/>
  <c r="K41" i="9"/>
  <c r="B41" i="9"/>
  <c r="O40" i="9"/>
  <c r="N40" i="9"/>
  <c r="M40" i="9"/>
  <c r="L40" i="9"/>
  <c r="P37" i="9" s="1"/>
  <c r="K40" i="9"/>
  <c r="B40" i="9"/>
  <c r="O39" i="9"/>
  <c r="N39" i="9"/>
  <c r="M39" i="9"/>
  <c r="L39" i="9"/>
  <c r="K39" i="9"/>
  <c r="B39" i="9"/>
  <c r="O38" i="9"/>
  <c r="N38" i="9"/>
  <c r="M38" i="9"/>
  <c r="L38" i="9"/>
  <c r="K38" i="9"/>
  <c r="B38" i="9"/>
  <c r="O37" i="9"/>
  <c r="N37" i="9"/>
  <c r="P32" i="9" s="1"/>
  <c r="Q32" i="9" s="1"/>
  <c r="R32" i="9" s="1"/>
  <c r="M37" i="9"/>
  <c r="L37" i="9"/>
  <c r="K37" i="9"/>
  <c r="B37" i="9"/>
  <c r="O36" i="9"/>
  <c r="N36" i="9"/>
  <c r="M36" i="9"/>
  <c r="L36" i="9"/>
  <c r="K36" i="9"/>
  <c r="B36" i="9"/>
  <c r="O35" i="9"/>
  <c r="N35" i="9"/>
  <c r="M35" i="9"/>
  <c r="L35" i="9"/>
  <c r="K35" i="9"/>
  <c r="B35" i="9"/>
  <c r="O34" i="9"/>
  <c r="N34" i="9"/>
  <c r="M34" i="9"/>
  <c r="L34" i="9"/>
  <c r="K34" i="9"/>
  <c r="B34" i="9"/>
  <c r="O33" i="9"/>
  <c r="N33" i="9"/>
  <c r="M33" i="9"/>
  <c r="L33" i="9"/>
  <c r="K33" i="9"/>
  <c r="B33" i="9"/>
  <c r="AD32" i="9"/>
  <c r="AD33" i="9" s="1"/>
  <c r="O32" i="9"/>
  <c r="N32" i="9"/>
  <c r="P27" i="9" s="1"/>
  <c r="Q27" i="9" s="1"/>
  <c r="R27" i="9" s="1"/>
  <c r="M32" i="9"/>
  <c r="L32" i="9"/>
  <c r="K32" i="9"/>
  <c r="B32" i="9"/>
  <c r="AE31" i="9"/>
  <c r="O31" i="9"/>
  <c r="N31" i="9"/>
  <c r="P26" i="9" s="1"/>
  <c r="Q26" i="9" s="1"/>
  <c r="R26" i="9" s="1"/>
  <c r="M31" i="9"/>
  <c r="L31" i="9"/>
  <c r="K31" i="9"/>
  <c r="B31" i="9"/>
  <c r="O30" i="9"/>
  <c r="N30" i="9"/>
  <c r="M30" i="9"/>
  <c r="L30" i="9"/>
  <c r="K30" i="9"/>
  <c r="P28" i="9" s="1"/>
  <c r="B30" i="9"/>
  <c r="O29" i="9"/>
  <c r="N29" i="9"/>
  <c r="M29" i="9"/>
  <c r="L29" i="9"/>
  <c r="K29" i="9"/>
  <c r="B29" i="9"/>
  <c r="O28" i="9"/>
  <c r="N28" i="9"/>
  <c r="M28" i="9"/>
  <c r="L28" i="9"/>
  <c r="K28" i="9"/>
  <c r="B28" i="9"/>
  <c r="O27" i="9"/>
  <c r="N27" i="9"/>
  <c r="M27" i="9"/>
  <c r="L27" i="9"/>
  <c r="K27" i="9"/>
  <c r="B27" i="9"/>
  <c r="O26" i="9"/>
  <c r="N26" i="9"/>
  <c r="M26" i="9"/>
  <c r="L26" i="9"/>
  <c r="P23" i="9" s="1"/>
  <c r="K26" i="9"/>
  <c r="P24" i="9" s="1"/>
  <c r="Q24" i="9" s="1"/>
  <c r="R24" i="9" s="1"/>
  <c r="B26" i="9"/>
  <c r="O25" i="9"/>
  <c r="N25" i="9"/>
  <c r="M25" i="9"/>
  <c r="L25" i="9"/>
  <c r="K25" i="9"/>
  <c r="B25" i="9"/>
  <c r="O24" i="9"/>
  <c r="N24" i="9"/>
  <c r="M24" i="9"/>
  <c r="L24" i="9"/>
  <c r="K24" i="9"/>
  <c r="B24" i="9"/>
  <c r="O23" i="9"/>
  <c r="N23" i="9"/>
  <c r="M23" i="9"/>
  <c r="L23" i="9"/>
  <c r="K23" i="9"/>
  <c r="P21" i="9" s="1"/>
  <c r="B23" i="9"/>
  <c r="O22" i="9"/>
  <c r="N22" i="9"/>
  <c r="M22" i="9"/>
  <c r="L22" i="9"/>
  <c r="K22" i="9"/>
  <c r="B22" i="9"/>
  <c r="O21" i="9"/>
  <c r="N21" i="9"/>
  <c r="M21" i="9"/>
  <c r="L21" i="9"/>
  <c r="K21" i="9"/>
  <c r="B21" i="9"/>
  <c r="O20" i="9"/>
  <c r="N20" i="9"/>
  <c r="M20" i="9"/>
  <c r="L20" i="9"/>
  <c r="K20" i="9"/>
  <c r="B20" i="9"/>
  <c r="O19" i="9"/>
  <c r="N19" i="9"/>
  <c r="M19" i="9"/>
  <c r="L19" i="9"/>
  <c r="K19" i="9"/>
  <c r="B19" i="9"/>
  <c r="O18" i="9"/>
  <c r="N18" i="9"/>
  <c r="M18" i="9"/>
  <c r="L18" i="9"/>
  <c r="K18" i="9"/>
  <c r="B18" i="9"/>
  <c r="O17" i="9"/>
  <c r="N17" i="9"/>
  <c r="M17" i="9"/>
  <c r="L17" i="9"/>
  <c r="K17" i="9"/>
  <c r="B17" i="9"/>
  <c r="O16" i="9"/>
  <c r="N16" i="9"/>
  <c r="M16" i="9"/>
  <c r="L16" i="9"/>
  <c r="K16" i="9"/>
  <c r="B16" i="9"/>
  <c r="O15" i="9"/>
  <c r="N15" i="9"/>
  <c r="M15" i="9"/>
  <c r="L15" i="9"/>
  <c r="K15" i="9"/>
  <c r="B15" i="9"/>
  <c r="O14" i="9"/>
  <c r="N14" i="9"/>
  <c r="M14" i="9"/>
  <c r="L14" i="9"/>
  <c r="K14" i="9"/>
  <c r="B14" i="9"/>
  <c r="O13" i="9"/>
  <c r="N13" i="9"/>
  <c r="M13" i="9"/>
  <c r="L13" i="9"/>
  <c r="K13" i="9"/>
  <c r="O12" i="9"/>
  <c r="N12" i="9"/>
  <c r="M12" i="9"/>
  <c r="L12" i="9"/>
  <c r="K12" i="9"/>
  <c r="O11" i="9"/>
  <c r="N11" i="9"/>
  <c r="M11" i="9"/>
  <c r="L11" i="9"/>
  <c r="K11" i="9"/>
  <c r="O10" i="9"/>
  <c r="N10" i="9"/>
  <c r="M10" i="9"/>
  <c r="L10" i="9"/>
  <c r="K10" i="9"/>
  <c r="O9" i="9"/>
  <c r="N9" i="9"/>
  <c r="M9" i="9"/>
  <c r="L9" i="9"/>
  <c r="K9" i="9"/>
  <c r="O8" i="9"/>
  <c r="O7" i="9"/>
  <c r="P6" i="9"/>
  <c r="O6" i="9"/>
  <c r="P5" i="9"/>
  <c r="O5" i="9"/>
  <c r="P4" i="9"/>
  <c r="O4" i="9"/>
  <c r="O44" i="12"/>
  <c r="N44" i="12"/>
  <c r="M44" i="12"/>
  <c r="L44" i="12"/>
  <c r="K44" i="12"/>
  <c r="B44" i="12"/>
  <c r="O43" i="12"/>
  <c r="N43" i="12"/>
  <c r="M43" i="12"/>
  <c r="L43" i="12"/>
  <c r="K43" i="12"/>
  <c r="B43" i="12"/>
  <c r="O42" i="12"/>
  <c r="N42" i="12"/>
  <c r="M42" i="12"/>
  <c r="L42" i="12"/>
  <c r="K42" i="12"/>
  <c r="B42" i="12"/>
  <c r="O41" i="12"/>
  <c r="N41" i="12"/>
  <c r="M41" i="12"/>
  <c r="L41" i="12"/>
  <c r="P38" i="12" s="1"/>
  <c r="K41" i="12"/>
  <c r="B41" i="12"/>
  <c r="O40" i="12"/>
  <c r="N40" i="12"/>
  <c r="M40" i="12"/>
  <c r="L40" i="12"/>
  <c r="K40" i="12"/>
  <c r="B40" i="12"/>
  <c r="O39" i="12"/>
  <c r="N39" i="12"/>
  <c r="M39" i="12"/>
  <c r="L39" i="12"/>
  <c r="K39" i="12"/>
  <c r="B39" i="12"/>
  <c r="O38" i="12"/>
  <c r="N38" i="12"/>
  <c r="M38" i="12"/>
  <c r="L38" i="12"/>
  <c r="K38" i="12"/>
  <c r="B38" i="12"/>
  <c r="O37" i="12"/>
  <c r="N37" i="12"/>
  <c r="M37" i="12"/>
  <c r="L37" i="12"/>
  <c r="K37" i="12"/>
  <c r="B37" i="12"/>
  <c r="O36" i="12"/>
  <c r="N36" i="12"/>
  <c r="M36" i="12"/>
  <c r="L36" i="12"/>
  <c r="K36" i="12"/>
  <c r="P34" i="12" s="1"/>
  <c r="B36" i="12"/>
  <c r="O35" i="12"/>
  <c r="N35" i="12"/>
  <c r="M35" i="12"/>
  <c r="L35" i="12"/>
  <c r="K35" i="12"/>
  <c r="B35" i="12"/>
  <c r="AD34" i="12"/>
  <c r="O34" i="12"/>
  <c r="N34" i="12"/>
  <c r="M34" i="12"/>
  <c r="L34" i="12"/>
  <c r="P31" i="12" s="1"/>
  <c r="K34" i="12"/>
  <c r="B34" i="12"/>
  <c r="AD33" i="12"/>
  <c r="AE33" i="12" s="1"/>
  <c r="O33" i="12"/>
  <c r="N33" i="12"/>
  <c r="M33" i="12"/>
  <c r="L33" i="12"/>
  <c r="K33" i="12"/>
  <c r="B33" i="12"/>
  <c r="AE32" i="12"/>
  <c r="AD32" i="12"/>
  <c r="O32" i="12"/>
  <c r="N32" i="12"/>
  <c r="M32" i="12"/>
  <c r="L32" i="12"/>
  <c r="K32" i="12"/>
  <c r="B32" i="12"/>
  <c r="AE31" i="12"/>
  <c r="O31" i="12"/>
  <c r="N31" i="12"/>
  <c r="M31" i="12"/>
  <c r="L31" i="12"/>
  <c r="K31" i="12"/>
  <c r="P29" i="12" s="1"/>
  <c r="B31" i="12"/>
  <c r="O30" i="12"/>
  <c r="N30" i="12"/>
  <c r="M30" i="12"/>
  <c r="L30" i="12"/>
  <c r="K30" i="12"/>
  <c r="B30" i="12"/>
  <c r="O29" i="12"/>
  <c r="N29" i="12"/>
  <c r="P24" i="12" s="1"/>
  <c r="M29" i="12"/>
  <c r="P25" i="12" s="1"/>
  <c r="L29" i="12"/>
  <c r="K29" i="12"/>
  <c r="B29" i="12"/>
  <c r="O28" i="12"/>
  <c r="N28" i="12"/>
  <c r="M28" i="12"/>
  <c r="L28" i="12"/>
  <c r="K28" i="12"/>
  <c r="B28" i="12"/>
  <c r="O27" i="12"/>
  <c r="N27" i="12"/>
  <c r="M27" i="12"/>
  <c r="P23" i="12" s="1"/>
  <c r="L27" i="12"/>
  <c r="K27" i="12"/>
  <c r="B27" i="12"/>
  <c r="O26" i="12"/>
  <c r="N26" i="12"/>
  <c r="M26" i="12"/>
  <c r="L26" i="12"/>
  <c r="K26" i="12"/>
  <c r="B26" i="12"/>
  <c r="O25" i="12"/>
  <c r="N25" i="12"/>
  <c r="P20" i="12" s="1"/>
  <c r="M25" i="12"/>
  <c r="L25" i="12"/>
  <c r="K25" i="12"/>
  <c r="B25" i="12"/>
  <c r="O24" i="12"/>
  <c r="N24" i="12"/>
  <c r="M24" i="12"/>
  <c r="L24" i="12"/>
  <c r="K24" i="12"/>
  <c r="B24" i="12"/>
  <c r="O23" i="12"/>
  <c r="N23" i="12"/>
  <c r="M23" i="12"/>
  <c r="L23" i="12"/>
  <c r="K23" i="12"/>
  <c r="B23" i="12"/>
  <c r="O22" i="12"/>
  <c r="N22" i="12"/>
  <c r="M22" i="12"/>
  <c r="L22" i="12"/>
  <c r="K22" i="12"/>
  <c r="B22" i="12"/>
  <c r="O21" i="12"/>
  <c r="N21" i="12"/>
  <c r="M21" i="12"/>
  <c r="L21" i="12"/>
  <c r="K21" i="12"/>
  <c r="B21" i="12"/>
  <c r="O20" i="12"/>
  <c r="N20" i="12"/>
  <c r="P15" i="12" s="1"/>
  <c r="M20" i="12"/>
  <c r="L20" i="12"/>
  <c r="K20" i="12"/>
  <c r="B20" i="12"/>
  <c r="P19" i="12"/>
  <c r="O19" i="12"/>
  <c r="N19" i="12"/>
  <c r="M19" i="12"/>
  <c r="L19" i="12"/>
  <c r="K19" i="12"/>
  <c r="B19" i="12"/>
  <c r="O18" i="12"/>
  <c r="N18" i="12"/>
  <c r="M18" i="12"/>
  <c r="L18" i="12"/>
  <c r="K18" i="12"/>
  <c r="B18" i="12"/>
  <c r="O17" i="12"/>
  <c r="N17" i="12"/>
  <c r="M17" i="12"/>
  <c r="L17" i="12"/>
  <c r="K17" i="12"/>
  <c r="B17" i="12"/>
  <c r="P16" i="12"/>
  <c r="O16" i="12"/>
  <c r="N16" i="12"/>
  <c r="M16" i="12"/>
  <c r="L16" i="12"/>
  <c r="K16" i="12"/>
  <c r="B16" i="12"/>
  <c r="O15" i="12"/>
  <c r="N15" i="12"/>
  <c r="M15" i="12"/>
  <c r="L15" i="12"/>
  <c r="K15" i="12"/>
  <c r="B15" i="12"/>
  <c r="O14" i="12"/>
  <c r="N14" i="12"/>
  <c r="M14" i="12"/>
  <c r="L14" i="12"/>
  <c r="K14" i="12"/>
  <c r="B14" i="12"/>
  <c r="P13" i="12"/>
  <c r="O13" i="12"/>
  <c r="N13" i="12"/>
  <c r="M13" i="12"/>
  <c r="L13" i="12"/>
  <c r="K13" i="12"/>
  <c r="P11" i="12" s="1"/>
  <c r="P12" i="12"/>
  <c r="O12" i="12"/>
  <c r="N12" i="12"/>
  <c r="M12" i="12"/>
  <c r="L12" i="12"/>
  <c r="K12" i="12"/>
  <c r="O11" i="12"/>
  <c r="N11" i="12"/>
  <c r="M11" i="12"/>
  <c r="L11" i="12"/>
  <c r="K11" i="12"/>
  <c r="O10" i="12"/>
  <c r="N10" i="12"/>
  <c r="M10" i="12"/>
  <c r="L10" i="12"/>
  <c r="K10" i="12"/>
  <c r="O9" i="12"/>
  <c r="N9" i="12"/>
  <c r="M9" i="12"/>
  <c r="L9" i="12"/>
  <c r="K9" i="12"/>
  <c r="O8" i="12"/>
  <c r="O7" i="12"/>
  <c r="P6" i="12"/>
  <c r="O6" i="12"/>
  <c r="P5" i="12"/>
  <c r="O5" i="12"/>
  <c r="P4" i="12"/>
  <c r="O4" i="12"/>
  <c r="T10" i="7"/>
  <c r="T11" i="7"/>
  <c r="O56"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K13" i="7"/>
  <c r="P11" i="7" s="1"/>
  <c r="L13" i="7"/>
  <c r="M13" i="7"/>
  <c r="N13" i="7"/>
  <c r="K14" i="7"/>
  <c r="P12" i="7" s="1"/>
  <c r="L14" i="7"/>
  <c r="M14" i="7"/>
  <c r="N14" i="7"/>
  <c r="K15" i="7"/>
  <c r="P13" i="7" s="1"/>
  <c r="L15" i="7"/>
  <c r="M15" i="7"/>
  <c r="N15" i="7"/>
  <c r="K16" i="7"/>
  <c r="P14" i="7" s="1"/>
  <c r="L16" i="7"/>
  <c r="M16" i="7"/>
  <c r="N16" i="7"/>
  <c r="K17" i="7"/>
  <c r="P15" i="7" s="1"/>
  <c r="L17" i="7"/>
  <c r="M17" i="7"/>
  <c r="N17" i="7"/>
  <c r="K18" i="7"/>
  <c r="P16" i="7" s="1"/>
  <c r="L18" i="7"/>
  <c r="M18" i="7"/>
  <c r="N18" i="7"/>
  <c r="K19" i="7"/>
  <c r="P17" i="7" s="1"/>
  <c r="L19" i="7"/>
  <c r="M19" i="7"/>
  <c r="N19" i="7"/>
  <c r="K20" i="7"/>
  <c r="P18" i="7" s="1"/>
  <c r="L20" i="7"/>
  <c r="M20" i="7"/>
  <c r="N20" i="7"/>
  <c r="K21" i="7"/>
  <c r="P19" i="7" s="1"/>
  <c r="L21" i="7"/>
  <c r="M21" i="7"/>
  <c r="N21" i="7"/>
  <c r="K22" i="7"/>
  <c r="P20" i="7" s="1"/>
  <c r="L22" i="7"/>
  <c r="M22" i="7"/>
  <c r="N22" i="7"/>
  <c r="K23" i="7"/>
  <c r="P21" i="7" s="1"/>
  <c r="L23" i="7"/>
  <c r="M23" i="7"/>
  <c r="N23" i="7"/>
  <c r="K24" i="7"/>
  <c r="P22" i="7" s="1"/>
  <c r="L24" i="7"/>
  <c r="M24" i="7"/>
  <c r="N24" i="7"/>
  <c r="K25" i="7"/>
  <c r="P23" i="7" s="1"/>
  <c r="L25" i="7"/>
  <c r="M25" i="7"/>
  <c r="N25" i="7"/>
  <c r="K26" i="7"/>
  <c r="P24" i="7" s="1"/>
  <c r="L26" i="7"/>
  <c r="M26" i="7"/>
  <c r="N26" i="7"/>
  <c r="K27" i="7"/>
  <c r="P25" i="7" s="1"/>
  <c r="L27" i="7"/>
  <c r="M27" i="7"/>
  <c r="N27" i="7"/>
  <c r="K28" i="7"/>
  <c r="P26" i="7" s="1"/>
  <c r="L28" i="7"/>
  <c r="M28" i="7"/>
  <c r="N28" i="7"/>
  <c r="K29" i="7"/>
  <c r="P27" i="7" s="1"/>
  <c r="L29" i="7"/>
  <c r="M29" i="7"/>
  <c r="N29" i="7"/>
  <c r="K30" i="7"/>
  <c r="P28" i="7" s="1"/>
  <c r="L30" i="7"/>
  <c r="M30" i="7"/>
  <c r="N30" i="7"/>
  <c r="K31" i="7"/>
  <c r="P29" i="7" s="1"/>
  <c r="L31" i="7"/>
  <c r="M31" i="7"/>
  <c r="N31" i="7"/>
  <c r="K32" i="7"/>
  <c r="P30" i="7" s="1"/>
  <c r="L32" i="7"/>
  <c r="M32" i="7"/>
  <c r="N32" i="7"/>
  <c r="K33" i="7"/>
  <c r="P31" i="7" s="1"/>
  <c r="L33" i="7"/>
  <c r="M33" i="7"/>
  <c r="N33" i="7"/>
  <c r="K34" i="7"/>
  <c r="P32" i="7" s="1"/>
  <c r="L34" i="7"/>
  <c r="M34" i="7"/>
  <c r="N34" i="7"/>
  <c r="K35" i="7"/>
  <c r="P33" i="7" s="1"/>
  <c r="L35" i="7"/>
  <c r="M35" i="7"/>
  <c r="N35" i="7"/>
  <c r="K36" i="7"/>
  <c r="P34" i="7" s="1"/>
  <c r="L36" i="7"/>
  <c r="M36" i="7"/>
  <c r="N36" i="7"/>
  <c r="K37" i="7"/>
  <c r="P35" i="7" s="1"/>
  <c r="L37" i="7"/>
  <c r="M37" i="7"/>
  <c r="N37" i="7"/>
  <c r="K38" i="7"/>
  <c r="L38" i="7"/>
  <c r="M38" i="7"/>
  <c r="N38" i="7"/>
  <c r="K39" i="7"/>
  <c r="P37" i="7" s="1"/>
  <c r="L39" i="7"/>
  <c r="M39" i="7"/>
  <c r="N39" i="7"/>
  <c r="K40" i="7"/>
  <c r="P38" i="7" s="1"/>
  <c r="Q38" i="7" s="1"/>
  <c r="R38" i="7" s="1"/>
  <c r="L40" i="7"/>
  <c r="M40" i="7"/>
  <c r="N40" i="7"/>
  <c r="K41" i="7"/>
  <c r="R39" i="7" s="1"/>
  <c r="L41" i="7"/>
  <c r="M41" i="7"/>
  <c r="N41" i="7"/>
  <c r="K42" i="7"/>
  <c r="L42" i="7"/>
  <c r="M42" i="7"/>
  <c r="K43" i="7"/>
  <c r="L43" i="7"/>
  <c r="M43" i="7"/>
  <c r="N43" i="7"/>
  <c r="L44" i="7"/>
  <c r="M44" i="7"/>
  <c r="N44" i="7"/>
  <c r="K9" i="7"/>
  <c r="L9" i="7"/>
  <c r="M9" i="7"/>
  <c r="N9" i="7"/>
  <c r="K10" i="7"/>
  <c r="L10" i="7"/>
  <c r="M10" i="7"/>
  <c r="N10" i="7"/>
  <c r="K11" i="7"/>
  <c r="L11" i="7"/>
  <c r="M11" i="7"/>
  <c r="N11"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P37" i="10" l="1"/>
  <c r="P20" i="10"/>
  <c r="P30" i="10"/>
  <c r="P29" i="10"/>
  <c r="Q29" i="10" s="1"/>
  <c r="R29" i="10" s="1"/>
  <c r="P36" i="10"/>
  <c r="Q36" i="10" s="1"/>
  <c r="R36" i="10" s="1"/>
  <c r="P19" i="10"/>
  <c r="Q19" i="10" s="1"/>
  <c r="R19" i="10" s="1"/>
  <c r="Q24" i="10"/>
  <c r="R24" i="10" s="1"/>
  <c r="P17" i="10"/>
  <c r="Q17" i="10" s="1"/>
  <c r="R17" i="10" s="1"/>
  <c r="P33" i="10"/>
  <c r="Q33" i="10" s="1"/>
  <c r="R33" i="10" s="1"/>
  <c r="P14" i="10"/>
  <c r="Q14" i="10" s="1"/>
  <c r="R14" i="10" s="1"/>
  <c r="P31" i="10"/>
  <c r="Q31" i="10" s="1"/>
  <c r="R31" i="10" s="1"/>
  <c r="Q28" i="10"/>
  <c r="R28" i="10" s="1"/>
  <c r="P32" i="10"/>
  <c r="Q32" i="10" s="1"/>
  <c r="R32" i="10" s="1"/>
  <c r="Q35" i="10"/>
  <c r="R35" i="10" s="1"/>
  <c r="Q15" i="10"/>
  <c r="R15" i="10" s="1"/>
  <c r="P12" i="10"/>
  <c r="Q12" i="10" s="1"/>
  <c r="Q20" i="10"/>
  <c r="R20" i="10" s="1"/>
  <c r="Q23" i="10"/>
  <c r="R23" i="10" s="1"/>
  <c r="P26" i="10"/>
  <c r="Q26" i="10" s="1"/>
  <c r="R26" i="10" s="1"/>
  <c r="P38" i="10"/>
  <c r="Q38" i="10" s="1"/>
  <c r="R38" i="10" s="1"/>
  <c r="P18" i="10"/>
  <c r="Q18" i="10" s="1"/>
  <c r="R18" i="10" s="1"/>
  <c r="Q34" i="10"/>
  <c r="R34" i="10" s="1"/>
  <c r="Q37" i="10"/>
  <c r="R37" i="10" s="1"/>
  <c r="P13" i="10"/>
  <c r="Q13" i="10" s="1"/>
  <c r="R13" i="10" s="1"/>
  <c r="P21" i="10"/>
  <c r="Q21" i="10" s="1"/>
  <c r="R21" i="10" s="1"/>
  <c r="Q22" i="10"/>
  <c r="R22" i="10" s="1"/>
  <c r="Q30" i="10"/>
  <c r="R30" i="10" s="1"/>
  <c r="AD35" i="10"/>
  <c r="AE34" i="10"/>
  <c r="P25" i="10"/>
  <c r="Q25" i="10" s="1"/>
  <c r="R25" i="10" s="1"/>
  <c r="Q37" i="9"/>
  <c r="R37" i="9" s="1"/>
  <c r="P30" i="9"/>
  <c r="Q30" i="9" s="1"/>
  <c r="R30" i="9" s="1"/>
  <c r="P31" i="9"/>
  <c r="P22" i="9"/>
  <c r="Q22" i="9" s="1"/>
  <c r="R22" i="9" s="1"/>
  <c r="Q23" i="9"/>
  <c r="R23" i="9" s="1"/>
  <c r="Q39" i="9"/>
  <c r="R39" i="9" s="1"/>
  <c r="Q28" i="9"/>
  <c r="R28" i="9" s="1"/>
  <c r="P25" i="9"/>
  <c r="Q25" i="9" s="1"/>
  <c r="R25" i="9" s="1"/>
  <c r="P34" i="9"/>
  <c r="Q34" i="9" s="1"/>
  <c r="R34" i="9" s="1"/>
  <c r="Q31" i="9"/>
  <c r="R31" i="9" s="1"/>
  <c r="P33" i="9"/>
  <c r="Q33" i="9" s="1"/>
  <c r="R33" i="9" s="1"/>
  <c r="P38" i="9"/>
  <c r="P20" i="9"/>
  <c r="Q20" i="9" s="1"/>
  <c r="R20" i="9" s="1"/>
  <c r="Q21" i="9"/>
  <c r="R21" i="9" s="1"/>
  <c r="P29" i="9"/>
  <c r="Q29" i="9" s="1"/>
  <c r="R29" i="9" s="1"/>
  <c r="AD34" i="9"/>
  <c r="AE33" i="9"/>
  <c r="Q38" i="9"/>
  <c r="R38" i="9" s="1"/>
  <c r="P35" i="9"/>
  <c r="Q35" i="9" s="1"/>
  <c r="R35" i="9" s="1"/>
  <c r="AE32" i="9"/>
  <c r="P18" i="12"/>
  <c r="P35" i="12"/>
  <c r="P17" i="12"/>
  <c r="Q18" i="12"/>
  <c r="R18" i="12" s="1"/>
  <c r="Q38" i="12"/>
  <c r="R38" i="12" s="1"/>
  <c r="P27" i="12"/>
  <c r="P28" i="12"/>
  <c r="P33" i="12"/>
  <c r="Q33" i="12" s="1"/>
  <c r="R33" i="12" s="1"/>
  <c r="P22" i="12"/>
  <c r="Q22" i="12" s="1"/>
  <c r="R22" i="12" s="1"/>
  <c r="P30" i="12"/>
  <c r="Q30" i="12" s="1"/>
  <c r="R30" i="12" s="1"/>
  <c r="P37" i="12"/>
  <c r="Q39" i="12"/>
  <c r="R39" i="12" s="1"/>
  <c r="P21" i="12"/>
  <c r="Q21" i="12" s="1"/>
  <c r="R21" i="12" s="1"/>
  <c r="P36" i="12"/>
  <c r="Q35" i="12"/>
  <c r="R35" i="12" s="1"/>
  <c r="Q34" i="12"/>
  <c r="R34" i="12" s="1"/>
  <c r="Q29" i="12"/>
  <c r="R29" i="12" s="1"/>
  <c r="Q17" i="12"/>
  <c r="R17" i="12" s="1"/>
  <c r="Q27" i="12"/>
  <c r="R27" i="12" s="1"/>
  <c r="Q28" i="12"/>
  <c r="R28" i="12" s="1"/>
  <c r="Q25" i="12"/>
  <c r="R25" i="12" s="1"/>
  <c r="P32" i="12"/>
  <c r="P14" i="12"/>
  <c r="P26" i="12"/>
  <c r="Q31" i="12"/>
  <c r="R31" i="12" s="1"/>
  <c r="Q37" i="12"/>
  <c r="R37" i="12" s="1"/>
  <c r="Q36" i="12"/>
  <c r="R36" i="12" s="1"/>
  <c r="Q24" i="12"/>
  <c r="R24" i="12" s="1"/>
  <c r="AD35" i="12"/>
  <c r="AE34" i="12"/>
  <c r="Q20" i="12"/>
  <c r="R20" i="12" s="1"/>
  <c r="P10" i="12"/>
  <c r="Q19" i="12"/>
  <c r="R19" i="12" s="1"/>
  <c r="Q23" i="12"/>
  <c r="R23" i="12" s="1"/>
  <c r="AD36" i="10" l="1"/>
  <c r="AE35" i="10"/>
  <c r="R12" i="10"/>
  <c r="O54" i="10"/>
  <c r="AD35" i="9"/>
  <c r="AE34" i="9"/>
  <c r="O54" i="9"/>
  <c r="AD36" i="12"/>
  <c r="AE35" i="12"/>
  <c r="Q26" i="12"/>
  <c r="R26" i="12" s="1"/>
  <c r="Q32" i="12"/>
  <c r="R32" i="12" s="1"/>
  <c r="O56" i="10" l="1"/>
  <c r="O55" i="10"/>
  <c r="AD37" i="10"/>
  <c r="AE36" i="10"/>
  <c r="AE35" i="9"/>
  <c r="AD36" i="9"/>
  <c r="O55" i="9"/>
  <c r="O56" i="9"/>
  <c r="O54" i="12"/>
  <c r="AE36" i="12"/>
  <c r="AD37" i="12"/>
  <c r="O55" i="12"/>
  <c r="AD38" i="10" l="1"/>
  <c r="AE37" i="10"/>
  <c r="O61" i="10"/>
  <c r="S2" i="10"/>
  <c r="Q55" i="10"/>
  <c r="O57" i="10"/>
  <c r="O58" i="10"/>
  <c r="O59" i="10"/>
  <c r="S1" i="10"/>
  <c r="S2" i="9"/>
  <c r="O61" i="9"/>
  <c r="Q55" i="9"/>
  <c r="O60" i="9"/>
  <c r="O58" i="9"/>
  <c r="O57" i="9"/>
  <c r="O64" i="9" s="1"/>
  <c r="S1" i="9"/>
  <c r="O59" i="9"/>
  <c r="AD37" i="9"/>
  <c r="AE36" i="9"/>
  <c r="S1" i="12"/>
  <c r="O59" i="12"/>
  <c r="O57" i="12"/>
  <c r="O64" i="12" s="1"/>
  <c r="O58" i="12"/>
  <c r="C5" i="13" s="1"/>
  <c r="O60" i="12"/>
  <c r="B5" i="13" s="1"/>
  <c r="AD38" i="12"/>
  <c r="AE37" i="12"/>
  <c r="S2" i="12"/>
  <c r="Q55" i="12"/>
  <c r="O61" i="12"/>
  <c r="S39" i="10" l="1"/>
  <c r="T39" i="10" s="1"/>
  <c r="S35" i="10"/>
  <c r="T35" i="10" s="1"/>
  <c r="S28" i="10"/>
  <c r="T28" i="10" s="1"/>
  <c r="S24" i="10"/>
  <c r="T24" i="10" s="1"/>
  <c r="S20" i="10"/>
  <c r="T20" i="10" s="1"/>
  <c r="S16" i="10"/>
  <c r="T16" i="10" s="1"/>
  <c r="S13" i="10"/>
  <c r="T13" i="10" s="1"/>
  <c r="S11" i="10"/>
  <c r="T11" i="10" s="1"/>
  <c r="S32" i="10"/>
  <c r="T32" i="10" s="1"/>
  <c r="S31" i="10"/>
  <c r="T31" i="10" s="1"/>
  <c r="S36" i="10"/>
  <c r="T36" i="10" s="1"/>
  <c r="S27" i="10"/>
  <c r="T27" i="10" s="1"/>
  <c r="S19" i="10"/>
  <c r="T19" i="10" s="1"/>
  <c r="S23" i="10"/>
  <c r="T23" i="10" s="1"/>
  <c r="S22" i="10"/>
  <c r="T22" i="10" s="1"/>
  <c r="S15" i="10"/>
  <c r="T15" i="10" s="1"/>
  <c r="S14" i="10"/>
  <c r="T14" i="10" s="1"/>
  <c r="S12" i="10"/>
  <c r="T12" i="10" s="1"/>
  <c r="S10" i="10"/>
  <c r="T10" i="10" s="1"/>
  <c r="S26" i="10"/>
  <c r="T26" i="10" s="1"/>
  <c r="S34" i="10"/>
  <c r="T34" i="10" s="1"/>
  <c r="S17" i="10"/>
  <c r="T17" i="10" s="1"/>
  <c r="S37" i="10"/>
  <c r="T37" i="10" s="1"/>
  <c r="S25" i="10"/>
  <c r="T25" i="10" s="1"/>
  <c r="S18" i="10"/>
  <c r="T18" i="10" s="1"/>
  <c r="S29" i="10"/>
  <c r="T29" i="10" s="1"/>
  <c r="S21" i="10"/>
  <c r="T21" i="10" s="1"/>
  <c r="S33" i="10"/>
  <c r="T33" i="10" s="1"/>
  <c r="S38" i="10"/>
  <c r="T38" i="10" s="1"/>
  <c r="S30" i="10"/>
  <c r="T30" i="10" s="1"/>
  <c r="AD39" i="10"/>
  <c r="AE38" i="10"/>
  <c r="S36" i="9"/>
  <c r="T36" i="9" s="1"/>
  <c r="S32" i="9"/>
  <c r="T32" i="9" s="1"/>
  <c r="S31" i="9"/>
  <c r="T31" i="9" s="1"/>
  <c r="S27" i="9"/>
  <c r="T27" i="9" s="1"/>
  <c r="S23" i="9"/>
  <c r="T23" i="9" s="1"/>
  <c r="S19" i="9"/>
  <c r="T19" i="9" s="1"/>
  <c r="S13" i="9"/>
  <c r="T13" i="9" s="1"/>
  <c r="S12" i="9"/>
  <c r="T12" i="9" s="1"/>
  <c r="S11" i="9"/>
  <c r="T11" i="9" s="1"/>
  <c r="S10" i="9"/>
  <c r="T10" i="9" s="1"/>
  <c r="S15" i="9"/>
  <c r="T15" i="9" s="1"/>
  <c r="S26" i="9"/>
  <c r="T26" i="9" s="1"/>
  <c r="S18" i="9"/>
  <c r="T18" i="9" s="1"/>
  <c r="S14" i="9"/>
  <c r="T14" i="9" s="1"/>
  <c r="S33" i="9"/>
  <c r="T33" i="9" s="1"/>
  <c r="S37" i="9"/>
  <c r="T37" i="9" s="1"/>
  <c r="S30" i="9"/>
  <c r="T30" i="9" s="1"/>
  <c r="S22" i="9"/>
  <c r="T22" i="9" s="1"/>
  <c r="S24" i="9"/>
  <c r="T24" i="9" s="1"/>
  <c r="S16" i="9"/>
  <c r="T16" i="9" s="1"/>
  <c r="S29" i="9"/>
  <c r="T29" i="9" s="1"/>
  <c r="S34" i="9"/>
  <c r="T34" i="9" s="1"/>
  <c r="S20" i="9"/>
  <c r="T20" i="9" s="1"/>
  <c r="S38" i="9"/>
  <c r="T38" i="9" s="1"/>
  <c r="S21" i="9"/>
  <c r="T21" i="9" s="1"/>
  <c r="S35" i="9"/>
  <c r="T35" i="9" s="1"/>
  <c r="S28" i="9"/>
  <c r="T28" i="9" s="1"/>
  <c r="S17" i="9"/>
  <c r="T17" i="9" s="1"/>
  <c r="S25" i="9"/>
  <c r="T25" i="9" s="1"/>
  <c r="S39" i="9"/>
  <c r="T39" i="9" s="1"/>
  <c r="AD38" i="9"/>
  <c r="AE37" i="9"/>
  <c r="AD39" i="12"/>
  <c r="AE38" i="12"/>
  <c r="S39" i="12"/>
  <c r="T39" i="12" s="1"/>
  <c r="S20" i="12"/>
  <c r="T20" i="12" s="1"/>
  <c r="S24" i="12"/>
  <c r="T24" i="12" s="1"/>
  <c r="S35" i="12"/>
  <c r="T35" i="12" s="1"/>
  <c r="S12" i="12"/>
  <c r="T12" i="12" s="1"/>
  <c r="S36" i="12"/>
  <c r="T36" i="12" s="1"/>
  <c r="S31" i="12"/>
  <c r="T31" i="12" s="1"/>
  <c r="S27" i="12"/>
  <c r="T27" i="12" s="1"/>
  <c r="S16" i="12"/>
  <c r="T16" i="12" s="1"/>
  <c r="S15" i="12"/>
  <c r="T15" i="12" s="1"/>
  <c r="S28" i="12"/>
  <c r="T28" i="12" s="1"/>
  <c r="S37" i="12"/>
  <c r="T37" i="12" s="1"/>
  <c r="S13" i="12"/>
  <c r="T13" i="12" s="1"/>
  <c r="S30" i="12"/>
  <c r="T30" i="12" s="1"/>
  <c r="S22" i="12"/>
  <c r="T22" i="12" s="1"/>
  <c r="S14" i="12"/>
  <c r="T14" i="12" s="1"/>
  <c r="S34" i="12"/>
  <c r="T34" i="12" s="1"/>
  <c r="S33" i="12"/>
  <c r="T33" i="12" s="1"/>
  <c r="S38" i="12"/>
  <c r="T38" i="12" s="1"/>
  <c r="S21" i="12"/>
  <c r="T21" i="12" s="1"/>
  <c r="S18" i="12"/>
  <c r="T18" i="12" s="1"/>
  <c r="S19" i="12"/>
  <c r="T19" i="12" s="1"/>
  <c r="S11" i="12"/>
  <c r="T11" i="12" s="1"/>
  <c r="S25" i="12"/>
  <c r="T25" i="12" s="1"/>
  <c r="S29" i="12"/>
  <c r="T29" i="12" s="1"/>
  <c r="S10" i="12"/>
  <c r="T10" i="12" s="1"/>
  <c r="S26" i="12"/>
  <c r="T26" i="12" s="1"/>
  <c r="S32" i="12"/>
  <c r="T32" i="12" s="1"/>
  <c r="S23" i="12"/>
  <c r="T23" i="12" s="1"/>
  <c r="S17" i="12"/>
  <c r="T17" i="12" s="1"/>
  <c r="AE39" i="10" l="1"/>
  <c r="AD40" i="10"/>
  <c r="AD39" i="9"/>
  <c r="AE38" i="9"/>
  <c r="AE39" i="12"/>
  <c r="AD40" i="12"/>
  <c r="AD41" i="10" l="1"/>
  <c r="AE40" i="10"/>
  <c r="AE39" i="9"/>
  <c r="AD40" i="9"/>
  <c r="AE40" i="12"/>
  <c r="AD41" i="12"/>
  <c r="AE41" i="10" l="1"/>
  <c r="AD42" i="10"/>
  <c r="AE40" i="9"/>
  <c r="AD41" i="9"/>
  <c r="AE41" i="12"/>
  <c r="AD42" i="12"/>
  <c r="AE42" i="10" l="1"/>
  <c r="AD43" i="10"/>
  <c r="AE41" i="9"/>
  <c r="AD42" i="9"/>
  <c r="AE42" i="12"/>
  <c r="AD43" i="12"/>
  <c r="AE43" i="10" l="1"/>
  <c r="AD44" i="10"/>
  <c r="AE42" i="9"/>
  <c r="AD43" i="9"/>
  <c r="AE43" i="12"/>
  <c r="AD44" i="12"/>
  <c r="AD45" i="10" l="1"/>
  <c r="AE44" i="10"/>
  <c r="AE43" i="9"/>
  <c r="AD44" i="9"/>
  <c r="AE44" i="12"/>
  <c r="AD45" i="12"/>
  <c r="AD46" i="10" l="1"/>
  <c r="AE45" i="10"/>
  <c r="AE44" i="9"/>
  <c r="AD45" i="9"/>
  <c r="AD46" i="12"/>
  <c r="AE45" i="12"/>
  <c r="AD47" i="10" l="1"/>
  <c r="AE46" i="10"/>
  <c r="AE45" i="9"/>
  <c r="AD46" i="9"/>
  <c r="AE46" i="12"/>
  <c r="AD47" i="12"/>
  <c r="AD48" i="10" l="1"/>
  <c r="AE47" i="10"/>
  <c r="AD47" i="9"/>
  <c r="AE46" i="9"/>
  <c r="AD48" i="12"/>
  <c r="AE47" i="12"/>
  <c r="AD49" i="10" l="1"/>
  <c r="AE48" i="10"/>
  <c r="AE47" i="9"/>
  <c r="AD48" i="9"/>
  <c r="AE48" i="12"/>
  <c r="AD49" i="12"/>
  <c r="AD50" i="10" l="1"/>
  <c r="AE49" i="10"/>
  <c r="AD49" i="9"/>
  <c r="AE48" i="9"/>
  <c r="AD50" i="12"/>
  <c r="AE49" i="12"/>
  <c r="AD51" i="10" l="1"/>
  <c r="AE50" i="10"/>
  <c r="AE49" i="9"/>
  <c r="AD50" i="9"/>
  <c r="AE50" i="12"/>
  <c r="AD51" i="12"/>
  <c r="AD52" i="10" l="1"/>
  <c r="AE51" i="10"/>
  <c r="AE50" i="9"/>
  <c r="AD51" i="9"/>
  <c r="AD52" i="12"/>
  <c r="AE51" i="12"/>
  <c r="AD53" i="10" l="1"/>
  <c r="AE52" i="10"/>
  <c r="AE51" i="9"/>
  <c r="AD52" i="9"/>
  <c r="AE52" i="12"/>
  <c r="AD53" i="12"/>
  <c r="AD54" i="10" l="1"/>
  <c r="AE53" i="10"/>
  <c r="AD53" i="9"/>
  <c r="AE52" i="9"/>
  <c r="AD54" i="12"/>
  <c r="AE53" i="12"/>
  <c r="AE54" i="10" l="1"/>
  <c r="AD55" i="10"/>
  <c r="AE53" i="9"/>
  <c r="AD54" i="9"/>
  <c r="AD55" i="12"/>
  <c r="AE54" i="12"/>
  <c r="AE55" i="10" l="1"/>
  <c r="AD56" i="10"/>
  <c r="AE54" i="9"/>
  <c r="AD55" i="9"/>
  <c r="AD56" i="12"/>
  <c r="AE55" i="12"/>
  <c r="AE56" i="10" l="1"/>
  <c r="AD57" i="10"/>
  <c r="AE55" i="9"/>
  <c r="AD56" i="9"/>
  <c r="AE56" i="12"/>
  <c r="AD57" i="12"/>
  <c r="AD58" i="10" l="1"/>
  <c r="AE57" i="10"/>
  <c r="AD57" i="9"/>
  <c r="AE56" i="9"/>
  <c r="AE57" i="12"/>
  <c r="AD58" i="12"/>
  <c r="AD59" i="10" l="1"/>
  <c r="AE58" i="10"/>
  <c r="AD58" i="9"/>
  <c r="AE57" i="9"/>
  <c r="AE58" i="12"/>
  <c r="AD59" i="12"/>
  <c r="AE59" i="10" l="1"/>
  <c r="AD60" i="10"/>
  <c r="AE58" i="9"/>
  <c r="AD59" i="9"/>
  <c r="AE59" i="12"/>
  <c r="AD60" i="12"/>
  <c r="AE60" i="10" l="1"/>
  <c r="AD61" i="10"/>
  <c r="AE59" i="9"/>
  <c r="AD60" i="9"/>
  <c r="AE60" i="12"/>
  <c r="AD61" i="12"/>
  <c r="AD62" i="10" l="1"/>
  <c r="AE61" i="10"/>
  <c r="AD61" i="9"/>
  <c r="AE60" i="9"/>
  <c r="AE61" i="12"/>
  <c r="AD62" i="12"/>
  <c r="AE62" i="10" l="1"/>
  <c r="AD63" i="10"/>
  <c r="AD62" i="9"/>
  <c r="AE61" i="9"/>
  <c r="AD63" i="12"/>
  <c r="AE62" i="12"/>
  <c r="AD64" i="10" l="1"/>
  <c r="AE63" i="10"/>
  <c r="AD63" i="9"/>
  <c r="AE62" i="9"/>
  <c r="AD64" i="12"/>
  <c r="AE63" i="12"/>
  <c r="AD65" i="10" l="1"/>
  <c r="AE64" i="10"/>
  <c r="AD64" i="9"/>
  <c r="AE63" i="9"/>
  <c r="AD65" i="12"/>
  <c r="AE64" i="12"/>
  <c r="AD66" i="10" l="1"/>
  <c r="AE65" i="10"/>
  <c r="AE64" i="9"/>
  <c r="AD65" i="9"/>
  <c r="AD66" i="12"/>
  <c r="AE65" i="12"/>
  <c r="AD67" i="10" l="1"/>
  <c r="AE66" i="10"/>
  <c r="AD66" i="9"/>
  <c r="AE65" i="9"/>
  <c r="AD67" i="12"/>
  <c r="AE66" i="12"/>
  <c r="AD68" i="10" l="1"/>
  <c r="AE67" i="10"/>
  <c r="AE66" i="9"/>
  <c r="AD67" i="9"/>
  <c r="AD68" i="12"/>
  <c r="AE67" i="12"/>
  <c r="AD69" i="10" l="1"/>
  <c r="AE68" i="10"/>
  <c r="AD68" i="9"/>
  <c r="AE67" i="9"/>
  <c r="AD69" i="12"/>
  <c r="AE68" i="12"/>
  <c r="AD70" i="10" l="1"/>
  <c r="AE70" i="10" s="1"/>
  <c r="AE69" i="10"/>
  <c r="AE68" i="9"/>
  <c r="AD69" i="9"/>
  <c r="AD70" i="12"/>
  <c r="AE70" i="12" s="1"/>
  <c r="AE69" i="12"/>
  <c r="AE69" i="9" l="1"/>
  <c r="AD70" i="9"/>
  <c r="AE70" i="9" s="1"/>
  <c r="Q35" i="7" l="1"/>
  <c r="Q36" i="7"/>
  <c r="Q37" i="7"/>
  <c r="R37" i="7" s="1"/>
  <c r="O71" i="7" l="1"/>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58" i="7"/>
  <c r="O73" i="7" l="1"/>
  <c r="O74" i="7" s="1"/>
  <c r="O72" i="7"/>
  <c r="O78" i="7" s="1"/>
  <c r="O75" i="7" l="1"/>
  <c r="O76" i="7"/>
  <c r="Q72" i="7"/>
  <c r="O81" i="7"/>
  <c r="AE31" i="7" l="1"/>
  <c r="AD32" i="7"/>
  <c r="AD33" i="7" s="1"/>
  <c r="AE33" i="7" s="1"/>
  <c r="P5" i="7"/>
  <c r="P6" i="7"/>
  <c r="P4" i="7"/>
  <c r="O4" i="7"/>
  <c r="AE32" i="7" l="1"/>
  <c r="AD34" i="7"/>
  <c r="AD35" i="7" l="1"/>
  <c r="AE34" i="7"/>
  <c r="Q34" i="7"/>
  <c r="N12" i="7"/>
  <c r="M12" i="7"/>
  <c r="L12" i="7"/>
  <c r="K12" i="7"/>
  <c r="BQ4" i="6"/>
  <c r="BQ5" i="6"/>
  <c r="BQ6" i="6"/>
  <c r="BQ7" i="6"/>
  <c r="BQ8" i="6"/>
  <c r="BQ9" i="6"/>
  <c r="BQ10" i="6"/>
  <c r="BQ11" i="6"/>
  <c r="BQ12" i="6"/>
  <c r="BQ13" i="6"/>
  <c r="BQ14" i="6"/>
  <c r="BQ15" i="6"/>
  <c r="BQ16" i="6"/>
  <c r="BQ17" i="6"/>
  <c r="BQ18" i="6"/>
  <c r="BQ19" i="6"/>
  <c r="BQ20" i="6"/>
  <c r="BQ3" i="6"/>
  <c r="BQ22" i="6" s="1"/>
  <c r="H22" i="4"/>
  <c r="H32" i="4" s="1"/>
  <c r="C13" i="5" s="1"/>
  <c r="S20" i="4"/>
  <c r="R20" i="4"/>
  <c r="K20" i="4"/>
  <c r="L20" i="4" s="1"/>
  <c r="O20" i="4" s="1"/>
  <c r="H13" i="5"/>
  <c r="H14" i="5" s="1"/>
  <c r="F14" i="5"/>
  <c r="AT22" i="6"/>
  <c r="AU22" i="6"/>
  <c r="AV22" i="6"/>
  <c r="AW22" i="6"/>
  <c r="AX22" i="6"/>
  <c r="AY22" i="6"/>
  <c r="AZ22" i="6"/>
  <c r="BA22" i="6"/>
  <c r="BB22" i="6"/>
  <c r="BC22" i="6"/>
  <c r="BD22" i="6"/>
  <c r="BE22" i="6"/>
  <c r="BF22" i="6"/>
  <c r="BG22" i="6"/>
  <c r="BH22" i="6"/>
  <c r="BI22" i="6"/>
  <c r="BJ22" i="6"/>
  <c r="BK22" i="6"/>
  <c r="BL22" i="6"/>
  <c r="BM22" i="6"/>
  <c r="BN22" i="6"/>
  <c r="BO22" i="6"/>
  <c r="D22"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AF22" i="6"/>
  <c r="AG22" i="6"/>
  <c r="AH22" i="6"/>
  <c r="AI22" i="6"/>
  <c r="AJ22" i="6"/>
  <c r="AK22" i="6"/>
  <c r="AL22" i="6"/>
  <c r="AP31" i="6"/>
  <c r="AQ31" i="6"/>
  <c r="AR31" i="6"/>
  <c r="AS31" i="6"/>
  <c r="AP22" i="6"/>
  <c r="AQ22" i="6"/>
  <c r="AR22" i="6"/>
  <c r="AS22" i="6"/>
  <c r="AN31" i="6"/>
  <c r="AO31" i="6"/>
  <c r="AM31" i="6"/>
  <c r="AN22" i="6"/>
  <c r="AO22" i="6"/>
  <c r="AM22" i="6"/>
  <c r="C22" i="4"/>
  <c r="B4" i="13" s="1"/>
  <c r="S21" i="4"/>
  <c r="R21" i="4"/>
  <c r="K21" i="4"/>
  <c r="L21" i="4" s="1"/>
  <c r="S19" i="4"/>
  <c r="R19" i="4"/>
  <c r="K19" i="4"/>
  <c r="L19" i="4" s="1"/>
  <c r="S18" i="4"/>
  <c r="R18" i="4"/>
  <c r="K18" i="4"/>
  <c r="L18" i="4" s="1"/>
  <c r="S26" i="4"/>
  <c r="R26" i="4"/>
  <c r="K26" i="4"/>
  <c r="L26" i="4" s="1"/>
  <c r="S17" i="4"/>
  <c r="R17" i="4"/>
  <c r="K17" i="4"/>
  <c r="L17" i="4" s="1"/>
  <c r="O17" i="4" s="1"/>
  <c r="S25" i="4"/>
  <c r="R25" i="4"/>
  <c r="K25" i="4"/>
  <c r="L25" i="4" s="1"/>
  <c r="S16" i="4"/>
  <c r="R16" i="4"/>
  <c r="K16" i="4"/>
  <c r="L16" i="4" s="1"/>
  <c r="S15" i="4"/>
  <c r="R15" i="4"/>
  <c r="K15" i="4"/>
  <c r="L15" i="4" s="1"/>
  <c r="S14" i="4"/>
  <c r="R14" i="4"/>
  <c r="K14" i="4"/>
  <c r="L14" i="4" s="1"/>
  <c r="O14" i="4" s="1"/>
  <c r="S13" i="4"/>
  <c r="R13" i="4"/>
  <c r="K13" i="4"/>
  <c r="L13" i="4" s="1"/>
  <c r="S12" i="4"/>
  <c r="R12" i="4"/>
  <c r="K12" i="4"/>
  <c r="L12" i="4" s="1"/>
  <c r="S11" i="4"/>
  <c r="R11" i="4"/>
  <c r="K11" i="4"/>
  <c r="L11" i="4" s="1"/>
  <c r="S10" i="4"/>
  <c r="R10" i="4"/>
  <c r="K10" i="4"/>
  <c r="L10" i="4" s="1"/>
  <c r="S9" i="4"/>
  <c r="R9" i="4"/>
  <c r="K9" i="4"/>
  <c r="L9" i="4" s="1"/>
  <c r="O9" i="4" s="1"/>
  <c r="S8" i="4"/>
  <c r="R8" i="4"/>
  <c r="K8" i="4"/>
  <c r="L8" i="4" s="1"/>
  <c r="S7" i="4"/>
  <c r="R7" i="4"/>
  <c r="K7" i="4"/>
  <c r="L7" i="4" s="1"/>
  <c r="S6" i="4"/>
  <c r="R6" i="4"/>
  <c r="K6" i="4"/>
  <c r="L6" i="4" s="1"/>
  <c r="S27" i="4"/>
  <c r="R27" i="4"/>
  <c r="K27" i="4"/>
  <c r="L27" i="4" s="1"/>
  <c r="O27" i="4" s="1"/>
  <c r="S5" i="4"/>
  <c r="R5" i="4"/>
  <c r="K5" i="4"/>
  <c r="L5" i="4" s="1"/>
  <c r="S4" i="4"/>
  <c r="R4" i="4"/>
  <c r="K4" i="4"/>
  <c r="L4" i="4" s="1"/>
  <c r="M4" i="4" s="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3" i="1"/>
  <c r="P41" i="2"/>
  <c r="O41" i="2"/>
  <c r="L41" i="2"/>
  <c r="V41" i="2"/>
  <c r="T41" i="2"/>
  <c r="V40" i="2"/>
  <c r="T40" i="2"/>
  <c r="P40" i="2"/>
  <c r="O40" i="2"/>
  <c r="L40" i="2"/>
  <c r="V39" i="2"/>
  <c r="T39" i="2"/>
  <c r="P39" i="2"/>
  <c r="O39" i="2"/>
  <c r="L39" i="2"/>
  <c r="V38" i="2"/>
  <c r="T38" i="2"/>
  <c r="P38" i="2"/>
  <c r="O38" i="2"/>
  <c r="L38" i="2"/>
  <c r="V37" i="2"/>
  <c r="T37" i="2"/>
  <c r="P37" i="2"/>
  <c r="O37" i="2"/>
  <c r="L37" i="2"/>
  <c r="V36" i="2"/>
  <c r="T36" i="2"/>
  <c r="P36" i="2"/>
  <c r="O36" i="2"/>
  <c r="L36" i="2"/>
  <c r="V35" i="2"/>
  <c r="T35" i="2"/>
  <c r="P35" i="2"/>
  <c r="O35" i="2"/>
  <c r="L35" i="2"/>
  <c r="V34" i="2"/>
  <c r="T34" i="2"/>
  <c r="P34" i="2"/>
  <c r="O34" i="2"/>
  <c r="L34" i="2"/>
  <c r="V33" i="2"/>
  <c r="T33" i="2"/>
  <c r="P33" i="2"/>
  <c r="O33" i="2"/>
  <c r="L33" i="2"/>
  <c r="V32" i="2"/>
  <c r="T32" i="2"/>
  <c r="P32" i="2"/>
  <c r="O32" i="2"/>
  <c r="L32" i="2"/>
  <c r="V31" i="2"/>
  <c r="T31" i="2"/>
  <c r="P31" i="2"/>
  <c r="O31" i="2"/>
  <c r="L31" i="2"/>
  <c r="V30" i="2"/>
  <c r="T30" i="2"/>
  <c r="P30" i="2"/>
  <c r="O30" i="2"/>
  <c r="L30" i="2"/>
  <c r="V29" i="2"/>
  <c r="T29" i="2"/>
  <c r="P29" i="2"/>
  <c r="O29" i="2"/>
  <c r="L29" i="2"/>
  <c r="V28" i="2"/>
  <c r="T28" i="2"/>
  <c r="P28" i="2"/>
  <c r="O28" i="2"/>
  <c r="L28" i="2"/>
  <c r="V27" i="2"/>
  <c r="T27" i="2"/>
  <c r="P27" i="2"/>
  <c r="O27" i="2"/>
  <c r="L27" i="2"/>
  <c r="V26" i="2"/>
  <c r="T26" i="2"/>
  <c r="P26" i="2"/>
  <c r="O26" i="2"/>
  <c r="L26" i="2"/>
  <c r="V25" i="2"/>
  <c r="T25" i="2"/>
  <c r="P25" i="2"/>
  <c r="O25" i="2"/>
  <c r="L25" i="2"/>
  <c r="V24" i="2"/>
  <c r="T24" i="2"/>
  <c r="P24" i="2"/>
  <c r="O24" i="2"/>
  <c r="L24" i="2"/>
  <c r="V23" i="2"/>
  <c r="T23" i="2"/>
  <c r="P23" i="2"/>
  <c r="O23" i="2"/>
  <c r="L23" i="2"/>
  <c r="V22" i="2"/>
  <c r="T22" i="2"/>
  <c r="P22" i="2"/>
  <c r="O22" i="2"/>
  <c r="L22" i="2"/>
  <c r="V21" i="2"/>
  <c r="T21" i="2"/>
  <c r="P21" i="2"/>
  <c r="O21" i="2"/>
  <c r="L21" i="2"/>
  <c r="V20" i="2"/>
  <c r="T20" i="2"/>
  <c r="P20" i="2"/>
  <c r="O20" i="2"/>
  <c r="L20" i="2"/>
  <c r="V19" i="2"/>
  <c r="T19" i="2"/>
  <c r="P19" i="2"/>
  <c r="O19" i="2"/>
  <c r="L19" i="2"/>
  <c r="V18" i="2"/>
  <c r="T18" i="2"/>
  <c r="P18" i="2"/>
  <c r="O18" i="2"/>
  <c r="L18" i="2"/>
  <c r="V17" i="2"/>
  <c r="T17" i="2"/>
  <c r="P17" i="2"/>
  <c r="O17" i="2"/>
  <c r="L17" i="2"/>
  <c r="V16" i="2"/>
  <c r="T16" i="2"/>
  <c r="P16" i="2"/>
  <c r="O16" i="2"/>
  <c r="L16" i="2"/>
  <c r="V15" i="2"/>
  <c r="T15" i="2"/>
  <c r="P15" i="2"/>
  <c r="O15" i="2"/>
  <c r="L15" i="2"/>
  <c r="V14" i="2"/>
  <c r="T14" i="2"/>
  <c r="P14" i="2"/>
  <c r="O14" i="2"/>
  <c r="L14" i="2"/>
  <c r="V13" i="2"/>
  <c r="T13" i="2"/>
  <c r="P13" i="2"/>
  <c r="O13" i="2"/>
  <c r="L13" i="2"/>
  <c r="V12" i="2"/>
  <c r="T12" i="2"/>
  <c r="P12" i="2"/>
  <c r="O12" i="2"/>
  <c r="L12" i="2"/>
  <c r="V11" i="2"/>
  <c r="T11" i="2"/>
  <c r="P11" i="2"/>
  <c r="O11" i="2"/>
  <c r="L11" i="2"/>
  <c r="V10" i="2"/>
  <c r="T10" i="2"/>
  <c r="P10" i="2"/>
  <c r="O10" i="2"/>
  <c r="L10" i="2"/>
  <c r="V9" i="2"/>
  <c r="T9" i="2"/>
  <c r="P9" i="2"/>
  <c r="O9" i="2"/>
  <c r="L9" i="2"/>
  <c r="V8" i="2"/>
  <c r="T8" i="2"/>
  <c r="P8" i="2"/>
  <c r="O8" i="2"/>
  <c r="L8" i="2"/>
  <c r="V7" i="2"/>
  <c r="T7" i="2"/>
  <c r="P7" i="2"/>
  <c r="O7" i="2"/>
  <c r="L7" i="2"/>
  <c r="V6" i="2"/>
  <c r="T6" i="2"/>
  <c r="P6" i="2"/>
  <c r="O6" i="2"/>
  <c r="L6" i="2"/>
  <c r="V5" i="2"/>
  <c r="T5" i="2"/>
  <c r="P5" i="2"/>
  <c r="O5" i="2"/>
  <c r="L5" i="2"/>
  <c r="V4" i="2"/>
  <c r="T4" i="2"/>
  <c r="P4" i="2"/>
  <c r="O4" i="2"/>
  <c r="L4" i="2"/>
  <c r="Q29" i="7" l="1"/>
  <c r="Q26" i="7"/>
  <c r="Q25" i="7"/>
  <c r="Q22" i="7"/>
  <c r="Q21" i="7"/>
  <c r="Q20" i="7"/>
  <c r="Q19" i="7"/>
  <c r="Q18" i="7"/>
  <c r="Q17" i="7"/>
  <c r="Q16" i="7"/>
  <c r="Q15" i="7"/>
  <c r="Q14" i="7"/>
  <c r="Q13" i="7"/>
  <c r="Q12" i="7"/>
  <c r="Q11" i="7"/>
  <c r="R11" i="7" s="1"/>
  <c r="Q33" i="7"/>
  <c r="Q32" i="7"/>
  <c r="Q31" i="7"/>
  <c r="Q30" i="7"/>
  <c r="Q27" i="7"/>
  <c r="Q23" i="7"/>
  <c r="Q28" i="7"/>
  <c r="Q24" i="7"/>
  <c r="S22" i="4"/>
  <c r="S32" i="4" s="1"/>
  <c r="C32" i="4"/>
  <c r="D13" i="5" s="1"/>
  <c r="AE35" i="7"/>
  <c r="AD36" i="7"/>
  <c r="M20" i="4"/>
  <c r="N20" i="4"/>
  <c r="R22" i="4"/>
  <c r="R32" i="4" s="1"/>
  <c r="O25" i="4"/>
  <c r="M25" i="4"/>
  <c r="O5" i="4"/>
  <c r="N5" i="4"/>
  <c r="M5" i="4"/>
  <c r="O8" i="4"/>
  <c r="N8" i="4"/>
  <c r="M8" i="4"/>
  <c r="O13" i="4"/>
  <c r="N13" i="4"/>
  <c r="M13" i="4"/>
  <c r="K22" i="4"/>
  <c r="L22" i="4" s="1"/>
  <c r="N6" i="4"/>
  <c r="O6" i="4"/>
  <c r="M6" i="4"/>
  <c r="N10" i="4"/>
  <c r="O10" i="4"/>
  <c r="M10" i="4"/>
  <c r="N15" i="4"/>
  <c r="O15" i="4"/>
  <c r="M15" i="4"/>
  <c r="M18" i="4"/>
  <c r="O18" i="4"/>
  <c r="N18" i="4"/>
  <c r="M19" i="4"/>
  <c r="N19" i="4"/>
  <c r="O19" i="4"/>
  <c r="N21" i="4"/>
  <c r="O21" i="4"/>
  <c r="M21" i="4"/>
  <c r="O4" i="4"/>
  <c r="N4" i="4"/>
  <c r="M7" i="4"/>
  <c r="N7" i="4"/>
  <c r="O7" i="4"/>
  <c r="M11" i="4"/>
  <c r="O11" i="4"/>
  <c r="N11" i="4"/>
  <c r="M12" i="4"/>
  <c r="N12" i="4"/>
  <c r="O12" i="4"/>
  <c r="M16" i="4"/>
  <c r="N16" i="4"/>
  <c r="O16" i="4"/>
  <c r="N26" i="4"/>
  <c r="M26" i="4"/>
  <c r="O26" i="4"/>
  <c r="M27" i="4"/>
  <c r="M9" i="4"/>
  <c r="M14" i="4"/>
  <c r="N25" i="4"/>
  <c r="M17" i="4"/>
  <c r="N27" i="4"/>
  <c r="N9" i="4"/>
  <c r="N14" i="4"/>
  <c r="N17" i="4"/>
  <c r="R10" i="7" l="1"/>
  <c r="R35" i="7"/>
  <c r="G89" i="7"/>
  <c r="H89" i="7" s="1"/>
  <c r="R19" i="7"/>
  <c r="G73" i="7"/>
  <c r="H73" i="7" s="1"/>
  <c r="R27" i="7"/>
  <c r="G81" i="7"/>
  <c r="H81" i="7" s="1"/>
  <c r="R36" i="7"/>
  <c r="G90" i="7"/>
  <c r="H90" i="7" s="1"/>
  <c r="R20" i="7"/>
  <c r="G74" i="7"/>
  <c r="H74" i="7" s="1"/>
  <c r="R24" i="7"/>
  <c r="G78" i="7"/>
  <c r="H78" i="7" s="1"/>
  <c r="R28" i="7"/>
  <c r="G82" i="7"/>
  <c r="H82" i="7" s="1"/>
  <c r="R32" i="7"/>
  <c r="G86" i="7"/>
  <c r="H86" i="7" s="1"/>
  <c r="R33" i="7"/>
  <c r="G87" i="7"/>
  <c r="H87" i="7" s="1"/>
  <c r="R13" i="7"/>
  <c r="G67" i="7"/>
  <c r="H67" i="7" s="1"/>
  <c r="R17" i="7"/>
  <c r="G71" i="7"/>
  <c r="H71" i="7" s="1"/>
  <c r="R21" i="7"/>
  <c r="G75" i="7"/>
  <c r="H75" i="7" s="1"/>
  <c r="R25" i="7"/>
  <c r="G79" i="7"/>
  <c r="H79" i="7" s="1"/>
  <c r="R29" i="7"/>
  <c r="G83" i="7"/>
  <c r="H83" i="7" s="1"/>
  <c r="R15" i="7"/>
  <c r="G69" i="7"/>
  <c r="H69" i="7" s="1"/>
  <c r="R23" i="7"/>
  <c r="G77" i="7"/>
  <c r="H77" i="7" s="1"/>
  <c r="R31" i="7"/>
  <c r="G85" i="7"/>
  <c r="H85" i="7" s="1"/>
  <c r="R16" i="7"/>
  <c r="G70" i="7"/>
  <c r="H70" i="7" s="1"/>
  <c r="O22" i="4"/>
  <c r="B13" i="5"/>
  <c r="R34" i="7"/>
  <c r="G88" i="7"/>
  <c r="H88" i="7" s="1"/>
  <c r="R14" i="7"/>
  <c r="G68" i="7"/>
  <c r="H68" i="7" s="1"/>
  <c r="R18" i="7"/>
  <c r="G72" i="7"/>
  <c r="H72" i="7" s="1"/>
  <c r="R22" i="7"/>
  <c r="G76" i="7"/>
  <c r="H76" i="7" s="1"/>
  <c r="R26" i="7"/>
  <c r="G80" i="7"/>
  <c r="H80" i="7" s="1"/>
  <c r="R30" i="7"/>
  <c r="G84" i="7"/>
  <c r="H84" i="7" s="1"/>
  <c r="R12" i="7"/>
  <c r="G66" i="7"/>
  <c r="H66" i="7" s="1"/>
  <c r="AD37" i="7"/>
  <c r="AE36" i="7"/>
  <c r="O54" i="7"/>
  <c r="Q20" i="4"/>
  <c r="P20" i="4"/>
  <c r="P5" i="4"/>
  <c r="P25" i="4"/>
  <c r="P13" i="4"/>
  <c r="Q25" i="4"/>
  <c r="M22" i="4"/>
  <c r="N22" i="4"/>
  <c r="C4" i="13" s="1"/>
  <c r="P8" i="4"/>
  <c r="Q5" i="4"/>
  <c r="Q8" i="4"/>
  <c r="Q13" i="4"/>
  <c r="Q17" i="4"/>
  <c r="P17" i="4"/>
  <c r="P27" i="4"/>
  <c r="Q27" i="4"/>
  <c r="Q11" i="4"/>
  <c r="P11" i="4"/>
  <c r="Q14" i="4"/>
  <c r="P14" i="4"/>
  <c r="Q26" i="4"/>
  <c r="P26" i="4"/>
  <c r="Q4" i="4"/>
  <c r="P4" i="4"/>
  <c r="Q12" i="4"/>
  <c r="P12" i="4"/>
  <c r="Q18" i="4"/>
  <c r="P18" i="4"/>
  <c r="Q10" i="4"/>
  <c r="P10" i="4"/>
  <c r="Q6" i="4"/>
  <c r="P6" i="4"/>
  <c r="Q16" i="4"/>
  <c r="P16" i="4"/>
  <c r="Q21" i="4"/>
  <c r="P21" i="4"/>
  <c r="Q19" i="4"/>
  <c r="P19" i="4"/>
  <c r="Q15" i="4"/>
  <c r="P15" i="4"/>
  <c r="P9" i="4"/>
  <c r="Q9" i="4"/>
  <c r="Q7" i="4"/>
  <c r="P7" i="4"/>
  <c r="P22" i="4" l="1"/>
  <c r="B14" i="5"/>
  <c r="S1" i="7"/>
  <c r="O55" i="7"/>
  <c r="S2" i="7" s="1"/>
  <c r="P32" i="4"/>
  <c r="AE37" i="7"/>
  <c r="AD38" i="7"/>
  <c r="O58" i="7"/>
  <c r="Q22" i="4"/>
  <c r="Q32" i="4" s="1"/>
  <c r="M4" i="1"/>
  <c r="N4" i="1"/>
  <c r="O4" i="1"/>
  <c r="M5" i="1"/>
  <c r="N5" i="1"/>
  <c r="O5" i="1"/>
  <c r="M6" i="1"/>
  <c r="N6" i="1"/>
  <c r="O6" i="1"/>
  <c r="M7" i="1"/>
  <c r="N7" i="1"/>
  <c r="O7" i="1"/>
  <c r="M8" i="1"/>
  <c r="N8" i="1"/>
  <c r="O8" i="1"/>
  <c r="M9" i="1"/>
  <c r="N9" i="1"/>
  <c r="O9" i="1"/>
  <c r="M10" i="1"/>
  <c r="N10" i="1"/>
  <c r="O10" i="1"/>
  <c r="M11" i="1"/>
  <c r="N11" i="1"/>
  <c r="O11" i="1"/>
  <c r="M12" i="1"/>
  <c r="N12" i="1"/>
  <c r="O12" i="1"/>
  <c r="M13" i="1"/>
  <c r="N13" i="1"/>
  <c r="O13" i="1"/>
  <c r="M14" i="1"/>
  <c r="N14" i="1"/>
  <c r="O14" i="1"/>
  <c r="M15" i="1"/>
  <c r="N15" i="1"/>
  <c r="O15" i="1"/>
  <c r="M16" i="1"/>
  <c r="N16" i="1"/>
  <c r="O16" i="1"/>
  <c r="M17" i="1"/>
  <c r="N17" i="1"/>
  <c r="O17" i="1"/>
  <c r="M18" i="1"/>
  <c r="N18" i="1"/>
  <c r="O18" i="1"/>
  <c r="M19" i="1"/>
  <c r="N19" i="1"/>
  <c r="O19" i="1"/>
  <c r="M20" i="1"/>
  <c r="N20" i="1"/>
  <c r="O20" i="1"/>
  <c r="M21" i="1"/>
  <c r="N21" i="1"/>
  <c r="O21" i="1"/>
  <c r="M22" i="1"/>
  <c r="N22" i="1"/>
  <c r="O22" i="1"/>
  <c r="M23" i="1"/>
  <c r="N23" i="1"/>
  <c r="O23" i="1"/>
  <c r="M24" i="1"/>
  <c r="N24" i="1"/>
  <c r="O24" i="1"/>
  <c r="M25" i="1"/>
  <c r="N25" i="1"/>
  <c r="O25" i="1"/>
  <c r="M26" i="1"/>
  <c r="N26" i="1"/>
  <c r="O26" i="1"/>
  <c r="M27" i="1"/>
  <c r="N27" i="1"/>
  <c r="O27" i="1"/>
  <c r="M28" i="1"/>
  <c r="N28" i="1"/>
  <c r="O28" i="1"/>
  <c r="M29" i="1"/>
  <c r="N29" i="1"/>
  <c r="O29" i="1"/>
  <c r="M30" i="1"/>
  <c r="N30" i="1"/>
  <c r="O30" i="1"/>
  <c r="M31" i="1"/>
  <c r="N31" i="1"/>
  <c r="O31" i="1"/>
  <c r="M32" i="1"/>
  <c r="N32" i="1"/>
  <c r="O32" i="1"/>
  <c r="M33" i="1"/>
  <c r="N33" i="1"/>
  <c r="O33" i="1"/>
  <c r="M34" i="1"/>
  <c r="N34" i="1"/>
  <c r="O34" i="1"/>
  <c r="M35" i="1"/>
  <c r="N35" i="1"/>
  <c r="O35" i="1"/>
  <c r="M36" i="1"/>
  <c r="N36" i="1"/>
  <c r="O36" i="1"/>
  <c r="M37" i="1"/>
  <c r="N37" i="1"/>
  <c r="O37" i="1"/>
  <c r="M38" i="1"/>
  <c r="N38" i="1"/>
  <c r="O38" i="1"/>
  <c r="M39" i="1"/>
  <c r="N39" i="1"/>
  <c r="O39" i="1"/>
  <c r="M40" i="1"/>
  <c r="N40" i="1"/>
  <c r="O40" i="1"/>
  <c r="N3" i="1"/>
  <c r="O3" i="1"/>
  <c r="M3" i="1"/>
  <c r="S16" i="7" l="1"/>
  <c r="T16" i="7" s="1"/>
  <c r="S37" i="7"/>
  <c r="T37" i="7" s="1"/>
  <c r="T39" i="7"/>
  <c r="S38" i="7"/>
  <c r="T38" i="7" s="1"/>
  <c r="S10" i="7"/>
  <c r="S11" i="7"/>
  <c r="D14" i="5"/>
  <c r="S22" i="7"/>
  <c r="T22" i="7" s="1"/>
  <c r="S23" i="7"/>
  <c r="T23" i="7" s="1"/>
  <c r="S12" i="7"/>
  <c r="T12" i="7" s="1"/>
  <c r="O64" i="7"/>
  <c r="S31" i="7"/>
  <c r="T31" i="7" s="1"/>
  <c r="S24" i="7"/>
  <c r="T24" i="7" s="1"/>
  <c r="S18" i="7"/>
  <c r="T18" i="7" s="1"/>
  <c r="O59" i="7"/>
  <c r="C14" i="5" s="1"/>
  <c r="S20" i="7"/>
  <c r="T20" i="7" s="1"/>
  <c r="S33" i="7"/>
  <c r="T33" i="7" s="1"/>
  <c r="S14" i="7"/>
  <c r="T14" i="7" s="1"/>
  <c r="S25" i="7"/>
  <c r="T25" i="7" s="1"/>
  <c r="S34" i="7"/>
  <c r="T34" i="7" s="1"/>
  <c r="S29" i="7"/>
  <c r="T29" i="7" s="1"/>
  <c r="S26" i="7"/>
  <c r="T26" i="7" s="1"/>
  <c r="S13" i="7"/>
  <c r="T13" i="7" s="1"/>
  <c r="S32" i="7"/>
  <c r="T32" i="7" s="1"/>
  <c r="S35" i="7"/>
  <c r="T35" i="7" s="1"/>
  <c r="S15" i="7"/>
  <c r="T15" i="7" s="1"/>
  <c r="S28" i="7"/>
  <c r="T28" i="7" s="1"/>
  <c r="Q55" i="7"/>
  <c r="O61" i="7"/>
  <c r="S36" i="7"/>
  <c r="T36" i="7" s="1"/>
  <c r="S17" i="7"/>
  <c r="T17" i="7" s="1"/>
  <c r="S30" i="7"/>
  <c r="T30" i="7" s="1"/>
  <c r="S21" i="7"/>
  <c r="T21" i="7" s="1"/>
  <c r="S19" i="7"/>
  <c r="T19" i="7" s="1"/>
  <c r="S27" i="7"/>
  <c r="T27" i="7" s="1"/>
  <c r="P38" i="1"/>
  <c r="P34" i="1"/>
  <c r="AD39" i="7"/>
  <c r="AE38" i="7"/>
  <c r="P30" i="1"/>
  <c r="P26" i="1"/>
  <c r="P22" i="1"/>
  <c r="P18" i="1"/>
  <c r="P14" i="1"/>
  <c r="P10" i="1"/>
  <c r="P6" i="1"/>
  <c r="P3" i="1"/>
  <c r="P39" i="1"/>
  <c r="P31" i="1"/>
  <c r="P27" i="1"/>
  <c r="P23" i="1"/>
  <c r="P19" i="1"/>
  <c r="P15" i="1"/>
  <c r="P40" i="1"/>
  <c r="P36" i="1"/>
  <c r="P32" i="1"/>
  <c r="P28" i="1"/>
  <c r="P24" i="1"/>
  <c r="P20" i="1"/>
  <c r="P16" i="1"/>
  <c r="P12" i="1"/>
  <c r="P8" i="1"/>
  <c r="P4" i="1"/>
  <c r="P35" i="1"/>
  <c r="P11" i="1"/>
  <c r="P7" i="1"/>
  <c r="P37" i="1"/>
  <c r="P33" i="1"/>
  <c r="P29" i="1"/>
  <c r="P25" i="1"/>
  <c r="P21" i="1"/>
  <c r="P17" i="1"/>
  <c r="P13" i="1"/>
  <c r="P9" i="1"/>
  <c r="P5" i="1"/>
  <c r="AE39" i="7" l="1"/>
  <c r="AD40" i="7"/>
  <c r="AE40" i="7" l="1"/>
  <c r="AD41" i="7"/>
  <c r="AE41" i="7" l="1"/>
  <c r="AD42" i="7"/>
  <c r="AD43" i="7" l="1"/>
  <c r="AE42" i="7"/>
  <c r="AE43" i="7" l="1"/>
  <c r="AD44" i="7"/>
  <c r="AD45" i="7" l="1"/>
  <c r="AE44" i="7"/>
  <c r="AE45" i="7" l="1"/>
  <c r="AD46" i="7"/>
  <c r="AE46" i="7" l="1"/>
  <c r="AD47" i="7"/>
  <c r="AE47" i="7" l="1"/>
  <c r="AD48" i="7"/>
  <c r="AD49" i="7" l="1"/>
  <c r="AE48" i="7"/>
  <c r="AE49" i="7" l="1"/>
  <c r="AD50" i="7"/>
  <c r="AE50" i="7" l="1"/>
  <c r="AD51" i="7"/>
  <c r="AE51" i="7" l="1"/>
  <c r="AD52" i="7"/>
  <c r="AE52" i="7" l="1"/>
  <c r="AD53" i="7"/>
  <c r="AE53" i="7" l="1"/>
  <c r="AD54" i="7"/>
  <c r="AD55" i="7" l="1"/>
  <c r="AE54" i="7"/>
  <c r="AE55" i="7" l="1"/>
  <c r="AD56" i="7"/>
  <c r="AE56" i="7" l="1"/>
  <c r="AD57" i="7"/>
  <c r="AE57" i="7" l="1"/>
  <c r="AD58" i="7"/>
  <c r="AE58" i="7" l="1"/>
  <c r="AD59" i="7"/>
  <c r="AE59" i="7" l="1"/>
  <c r="AD60" i="7"/>
  <c r="AE60" i="7" l="1"/>
  <c r="AD61" i="7"/>
  <c r="AE61" i="7" l="1"/>
  <c r="AD62" i="7"/>
  <c r="AD63" i="7" l="1"/>
  <c r="AE62" i="7"/>
  <c r="AE63" i="7" l="1"/>
  <c r="AD64" i="7"/>
  <c r="AE64" i="7" l="1"/>
  <c r="AD65" i="7"/>
  <c r="AE65" i="7" l="1"/>
  <c r="AD66" i="7"/>
  <c r="AE66" i="7" l="1"/>
  <c r="AD67" i="7"/>
  <c r="AE67" i="7" l="1"/>
  <c r="AD68" i="7"/>
  <c r="AE68" i="7" l="1"/>
  <c r="AD69" i="7"/>
  <c r="AE69" i="7" l="1"/>
  <c r="AD70" i="7"/>
  <c r="AE70" i="7" s="1"/>
</calcChain>
</file>

<file path=xl/comments1.xml><?xml version="1.0" encoding="utf-8"?>
<comments xmlns="http://schemas.openxmlformats.org/spreadsheetml/2006/main">
  <authors>
    <author>Bokvist, Jessy</author>
  </authors>
  <commentList>
    <comment ref="A4" authorId="0" shapeId="0">
      <text>
        <r>
          <rPr>
            <b/>
            <sz val="9"/>
            <color indexed="81"/>
            <rFont val="Tahoma"/>
            <charset val="1"/>
          </rPr>
          <t>Bokvist, Jessy:</t>
        </r>
        <r>
          <rPr>
            <sz val="9"/>
            <color indexed="81"/>
            <rFont val="Tahoma"/>
            <charset val="1"/>
          </rPr>
          <t xml:space="preserve">
 from term_nat in WCVI CN Term files</t>
        </r>
      </text>
    </comment>
  </commentList>
</comments>
</file>

<file path=xl/sharedStrings.xml><?xml version="1.0" encoding="utf-8"?>
<sst xmlns="http://schemas.openxmlformats.org/spreadsheetml/2006/main" count="422" uniqueCount="214">
  <si>
    <t>"Natural"</t>
  </si>
  <si>
    <t>Total</t>
  </si>
  <si>
    <t>"Hatchery"</t>
  </si>
  <si>
    <t>fcs - total indexed terminal return</t>
  </si>
  <si>
    <t>ESTIMATED CATCH AND ESCAPEMENT IN TERMINAL WCVI AREAS</t>
  </si>
  <si>
    <t>Terminal Run totals</t>
  </si>
  <si>
    <t>RETURN</t>
  </si>
  <si>
    <t>RCH/CON/NIT</t>
  </si>
  <si>
    <t>OTHER</t>
  </si>
  <si>
    <t>Check</t>
  </si>
  <si>
    <t>FCS file data for WCH</t>
  </si>
  <si>
    <t>FCS file data for WCN</t>
  </si>
  <si>
    <t>YEAR</t>
  </si>
  <si>
    <t>WCVI Hatchery total</t>
  </si>
  <si>
    <t>WCVI Natural total</t>
  </si>
  <si>
    <t>Smsy</t>
  </si>
  <si>
    <t>Srep</t>
  </si>
  <si>
    <t>Potentiial Benchmarks</t>
  </si>
  <si>
    <t>Expected</t>
  </si>
  <si>
    <t>Median</t>
  </si>
  <si>
    <t>80% CL</t>
  </si>
  <si>
    <t>Smsy/Srep</t>
  </si>
  <si>
    <t>Upper</t>
  </si>
  <si>
    <t>Lower</t>
  </si>
  <si>
    <t>River</t>
  </si>
  <si>
    <t>Value</t>
  </si>
  <si>
    <t>lower</t>
  </si>
  <si>
    <t>upper</t>
  </si>
  <si>
    <t>(medians)</t>
  </si>
  <si>
    <t>log(alpha)</t>
  </si>
  <si>
    <t>alpha</t>
  </si>
  <si>
    <t>Umsy</t>
  </si>
  <si>
    <t>Beta</t>
  </si>
  <si>
    <t>Rmax</t>
  </si>
  <si>
    <t>Recruits@85%Smsy</t>
  </si>
  <si>
    <t>0.85%Smsy</t>
  </si>
  <si>
    <t>25%Smsy</t>
  </si>
  <si>
    <t>Artlish</t>
  </si>
  <si>
    <t>Burman</t>
  </si>
  <si>
    <t>Conuma</t>
  </si>
  <si>
    <t>Gold</t>
  </si>
  <si>
    <t>Kaouk</t>
  </si>
  <si>
    <t>Leiner</t>
  </si>
  <si>
    <t>Tahsis</t>
  </si>
  <si>
    <t>Tahsish</t>
  </si>
  <si>
    <t>Zeballos</t>
  </si>
  <si>
    <t>Total Persistent Populations</t>
  </si>
  <si>
    <t>Bedwell</t>
  </si>
  <si>
    <t>Cypre</t>
  </si>
  <si>
    <t>Megin</t>
  </si>
  <si>
    <t>Moyeha</t>
  </si>
  <si>
    <t>Nahmint</t>
  </si>
  <si>
    <t>Nitinat</t>
  </si>
  <si>
    <t>Sarita</t>
  </si>
  <si>
    <t>Somass (Stamp&amp;Sproat)</t>
  </si>
  <si>
    <t>Tranquil</t>
  </si>
  <si>
    <t>San Juan</t>
  </si>
  <si>
    <t>Colonial&amp;Cayeagle</t>
  </si>
  <si>
    <t>Marble</t>
  </si>
  <si>
    <t>Model</t>
  </si>
  <si>
    <t>Stock</t>
  </si>
  <si>
    <t>Ricker A</t>
  </si>
  <si>
    <t>Ricker B</t>
  </si>
  <si>
    <t>Optimum</t>
  </si>
  <si>
    <t xml:space="preserve">Spawners </t>
  </si>
  <si>
    <t>Base Average Escapement</t>
  </si>
  <si>
    <t>Pre-Base Average</t>
  </si>
  <si>
    <t>Number</t>
  </si>
  <si>
    <t>Years</t>
  </si>
  <si>
    <t>WVH</t>
  </si>
  <si>
    <t>79-81</t>
  </si>
  <si>
    <t>75-78</t>
  </si>
  <si>
    <t>WVN</t>
  </si>
  <si>
    <t>WVN*</t>
  </si>
  <si>
    <t>Stat</t>
  </si>
  <si>
    <t>Stream Name</t>
  </si>
  <si>
    <t>Species</t>
  </si>
  <si>
    <t>1999</t>
  </si>
  <si>
    <t>1998</t>
  </si>
  <si>
    <t>1997</t>
  </si>
  <si>
    <t>1996</t>
  </si>
  <si>
    <t>1995</t>
  </si>
  <si>
    <t>1994</t>
  </si>
  <si>
    <t>1993</t>
  </si>
  <si>
    <t>1992</t>
  </si>
  <si>
    <t>1991</t>
  </si>
  <si>
    <t>1990</t>
  </si>
  <si>
    <t>1989</t>
  </si>
  <si>
    <t>1988</t>
  </si>
  <si>
    <t>1987</t>
  </si>
  <si>
    <t>1986</t>
  </si>
  <si>
    <t>1985</t>
  </si>
  <si>
    <t>1984</t>
  </si>
  <si>
    <t>1983</t>
  </si>
  <si>
    <t>1982</t>
  </si>
  <si>
    <t>1981</t>
  </si>
  <si>
    <t>1980</t>
  </si>
  <si>
    <t>1979</t>
  </si>
  <si>
    <t>1978</t>
  </si>
  <si>
    <t>1977</t>
  </si>
  <si>
    <t>1976</t>
  </si>
  <si>
    <t>1975</t>
  </si>
  <si>
    <t>1974</t>
  </si>
  <si>
    <t>1973</t>
  </si>
  <si>
    <t>1972</t>
  </si>
  <si>
    <t>1971</t>
  </si>
  <si>
    <t>1970</t>
  </si>
  <si>
    <t>1969</t>
  </si>
  <si>
    <t>1968</t>
  </si>
  <si>
    <t>1967</t>
  </si>
  <si>
    <t>1966</t>
  </si>
  <si>
    <t>1965</t>
  </si>
  <si>
    <t>1964</t>
  </si>
  <si>
    <t>1963</t>
  </si>
  <si>
    <t>1962</t>
  </si>
  <si>
    <t>1961</t>
  </si>
  <si>
    <t>1960</t>
  </si>
  <si>
    <t>1959</t>
  </si>
  <si>
    <t>1958</t>
  </si>
  <si>
    <t>1957</t>
  </si>
  <si>
    <t>1956</t>
  </si>
  <si>
    <t>1955</t>
  </si>
  <si>
    <t>1954</t>
  </si>
  <si>
    <t>1953</t>
  </si>
  <si>
    <t>Chinook</t>
  </si>
  <si>
    <t>NI</t>
  </si>
  <si>
    <t>NO</t>
  </si>
  <si>
    <t>UK</t>
  </si>
  <si>
    <t>AP</t>
  </si>
  <si>
    <t>SAN JUAN RIVER</t>
  </si>
  <si>
    <t>NITINAT RIVER</t>
  </si>
  <si>
    <t>NAHMINT RIVER</t>
  </si>
  <si>
    <t>SARITA RIVER</t>
  </si>
  <si>
    <t>SOMASS SYSTEM</t>
  </si>
  <si>
    <t>BEDWELL/URSUS</t>
  </si>
  <si>
    <t>MEGIN RIVER</t>
  </si>
  <si>
    <t>MOYEHA RIVER</t>
  </si>
  <si>
    <t>TRANQUIL CREEK</t>
  </si>
  <si>
    <t>BURMAN RIVER</t>
  </si>
  <si>
    <t>CONUMA RIVER</t>
  </si>
  <si>
    <t>GOLD RIVER</t>
  </si>
  <si>
    <t>LEINER RIVER</t>
  </si>
  <si>
    <t>LITTLE ZEBALLOS RIVER</t>
  </si>
  <si>
    <t>TAHSIS RIVER</t>
  </si>
  <si>
    <t>ZEBALLOS RIVER</t>
  </si>
  <si>
    <t>ARTLISH RIVER</t>
  </si>
  <si>
    <t>KAOUK RIVER</t>
  </si>
  <si>
    <t>TAHSISH RIVER</t>
  </si>
  <si>
    <t>COLONIAL/CAYEGHLE CREEKS</t>
  </si>
  <si>
    <t>MARBLE RIVER</t>
  </si>
  <si>
    <t>NAT</t>
  </si>
  <si>
    <t>SPAWNERS</t>
  </si>
  <si>
    <t>TERMINAL RETURN</t>
  </si>
  <si>
    <t>PRE-TERMINAL ER</t>
  </si>
  <si>
    <t>PRE-TERMINAL CATCH</t>
  </si>
  <si>
    <t>R/S</t>
  </si>
  <si>
    <t>RECRUITS</t>
  </si>
  <si>
    <t>SLOPE</t>
  </si>
  <si>
    <t>INTERCEPT</t>
  </si>
  <si>
    <t>b</t>
  </si>
  <si>
    <t>USE HABITAT</t>
  </si>
  <si>
    <t>USE S-R ANALYSIS</t>
  </si>
  <si>
    <t>AVG r/s</t>
  </si>
  <si>
    <t>a</t>
  </si>
  <si>
    <t>Ricker form</t>
  </si>
  <si>
    <t>R=Sexp(a(1-S/b)</t>
  </si>
  <si>
    <t xml:space="preserve">RICKER  </t>
  </si>
  <si>
    <t>ln(a)</t>
  </si>
  <si>
    <t>ln(R/S)=lna-(a/b)S</t>
  </si>
  <si>
    <t>Smax</t>
  </si>
  <si>
    <t>Spawners Age</t>
  </si>
  <si>
    <t>LN(R/S)</t>
  </si>
  <si>
    <t xml:space="preserve">BROOD </t>
  </si>
  <si>
    <t>EXP(Rec)</t>
  </si>
  <si>
    <t>(fix Ricker A)</t>
  </si>
  <si>
    <t>(adjust for large watersheds that likely overestimate R b)</t>
  </si>
  <si>
    <t>CTC output</t>
  </si>
  <si>
    <t>spawners</t>
  </si>
  <si>
    <t>recruits</t>
  </si>
  <si>
    <t>&gt; This file was originally created for Gayle Brown to help update the 'CTC model', which includes Ricker S-R parameter assumptions for Stock Management units stratified by hatchery and natural populations.</t>
  </si>
  <si>
    <t>&gt; The parameter assumptions in the CTC model seemed arbitrary so the idea was to compare those with the 'habitat-carrrying capacity' model (i.e. Parken et al.) with a S-R analysis for natural WCVI CN populations.</t>
  </si>
  <si>
    <t>Source DATA:</t>
  </si>
  <si>
    <t>1. Escapement data are generated from extensive WCVI indicators - i.e those with the most complete time-series and consistent observation methodology.</t>
  </si>
  <si>
    <t>2. Raw escapement estimates from these indicators are infilled annually to create a time-series of WCVI natural escapement for the 'WCVI term' files used for forecasting and as CTC model input.</t>
  </si>
  <si>
    <t>3. Estimates are infilled for either missing data or poor quality estimates (i.e. incomplete surveys, etc.)</t>
  </si>
  <si>
    <t>4.  Age sample data from across WCVI are used to estimate the age comp. of natural spawners.</t>
  </si>
  <si>
    <t>Source file: WCVI term</t>
  </si>
  <si>
    <t>ESC DATA</t>
  </si>
  <si>
    <t>For CTC purposes these data are aggregated to the WCVI stock management unit scale.</t>
  </si>
  <si>
    <t>CATCH DATA</t>
  </si>
  <si>
    <t>1. Pre-terminal age-specific exploitation rates are estimated  from the Roberstson Creek Hatchery CWT indicator stock.</t>
  </si>
  <si>
    <t>SOURCES of UNCERTAINTY</t>
  </si>
  <si>
    <t>(Pre-terminal exploitation refers to all exploitation that occurs in 'offshore' waters (i.e. outside the surfline) and represents harvest impacts for WCVI CN for all gear types from Alaska south to offshore WCVI fishing areas.</t>
  </si>
  <si>
    <t>2. 'Total mortality' estimates were used - i.e. as opposed to ER estimated from landed catch only.</t>
  </si>
  <si>
    <t>Source files: outputs from the annual CTC cohort analysis.</t>
  </si>
  <si>
    <t>1. Escapement data</t>
  </si>
  <si>
    <t>2. Spawner age composition estimates</t>
  </si>
  <si>
    <t>3. Exploitation / Harvest</t>
  </si>
  <si>
    <t>needs adjustment - there is a barrier that makes a signficant portion of the watershed inaccessible to anadromous salmon.</t>
  </si>
  <si>
    <t>probably needs adjustment - large watershed, but not all CN habitat - seems too high</t>
  </si>
  <si>
    <t>PRE-TERMINAL</t>
  </si>
  <si>
    <t>For C-68 purposes these data are selected and aggregated to the CU level - i.e. to support analysis of accounting for CU diversity in setting SMU-level LRPs.</t>
  </si>
  <si>
    <t>ASSUMPTIONS</t>
  </si>
  <si>
    <t>AGE 5/6 AGE CLASSES GROUPED</t>
  </si>
  <si>
    <t>RET</t>
  </si>
  <si>
    <t>SMU S-R</t>
  </si>
  <si>
    <t>SMU HAB</t>
  </si>
  <si>
    <t>SWVI S-R</t>
  </si>
  <si>
    <t>SWVI HAB</t>
  </si>
  <si>
    <t>NO KY S-R</t>
  </si>
  <si>
    <t>NO KY HAB</t>
  </si>
  <si>
    <t>NWVI S-R</t>
  </si>
  <si>
    <t>NWVI HAB</t>
  </si>
  <si>
    <t>AVG SPAWNERS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</si>
</sst>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 #,##0.00_-;_-* &quot;-&quot;??_-;_-@_-"/>
    <numFmt numFmtId="165" formatCode="_-* #,##0_-;\-* #,##0_-;_-* &quot;-&quot;??_-;_-@_-"/>
    <numFmt numFmtId="166" formatCode="_(* #,##0_);_(* \(#,##0\);_(* &quot;-&quot;??_);_(@_)"/>
    <numFmt numFmtId="167" formatCode="0.000000"/>
    <numFmt numFmtId="168" formatCode="_-* #,##0.000_-;\-* #,##0.000_-;_-* &quot;-&quot;??_-;_-@_-"/>
    <numFmt numFmtId="169" formatCode="0.0%"/>
    <numFmt numFmtId="170" formatCode="0.000"/>
  </numFmts>
  <fonts count="16" x14ac:knownFonts="1">
    <font>
      <sz val="11"/>
      <color theme="1"/>
      <name val="Calibri"/>
      <family val="2"/>
      <scheme val="minor"/>
    </font>
    <font>
      <sz val="11"/>
      <color theme="1"/>
      <name val="Calibri"/>
      <family val="2"/>
      <scheme val="minor"/>
    </font>
    <font>
      <sz val="10"/>
      <name val="Arial"/>
      <family val="2"/>
    </font>
    <font>
      <u/>
      <sz val="10"/>
      <color theme="10"/>
      <name val="Arial"/>
      <family val="2"/>
    </font>
    <font>
      <b/>
      <i/>
      <sz val="10"/>
      <name val="Arial"/>
      <family val="2"/>
    </font>
    <font>
      <sz val="10"/>
      <name val="Times New Roman"/>
      <family val="1"/>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i/>
      <sz val="11"/>
      <color theme="1"/>
      <name val="Calibri"/>
      <family val="2"/>
      <scheme val="minor"/>
    </font>
    <font>
      <sz val="10"/>
      <name val="Arial"/>
    </font>
    <font>
      <b/>
      <sz val="10"/>
      <name val="Arial"/>
      <family val="2"/>
    </font>
    <font>
      <sz val="11"/>
      <color theme="1"/>
      <name val="Calibri"/>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25">
    <border>
      <left/>
      <right/>
      <top/>
      <bottom/>
      <diagonal/>
    </border>
    <border>
      <left/>
      <right/>
      <top/>
      <bottom style="thin">
        <color indexed="64"/>
      </bottom>
      <diagonal/>
    </border>
    <border>
      <left style="medium">
        <color indexed="64"/>
      </left>
      <right style="medium">
        <color rgb="FF000000"/>
      </right>
      <top style="medium">
        <color indexed="64"/>
      </top>
      <bottom/>
      <diagonal/>
    </border>
    <border>
      <left style="medium">
        <color indexed="64"/>
      </left>
      <right style="medium">
        <color rgb="FF000000"/>
      </right>
      <top/>
      <bottom style="medium">
        <color indexed="64"/>
      </bottom>
      <diagonal/>
    </border>
    <border>
      <left/>
      <right style="medium">
        <color rgb="FF000000"/>
      </right>
      <top style="medium">
        <color indexed="64"/>
      </top>
      <bottom/>
      <diagonal/>
    </border>
    <border>
      <left/>
      <right style="medium">
        <color rgb="FF000000"/>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indexed="64"/>
      </top>
      <bottom/>
      <diagonal/>
    </border>
    <border>
      <left style="medium">
        <color rgb="FF000000"/>
      </left>
      <right style="medium">
        <color rgb="FF000000"/>
      </right>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medium">
        <color rgb="FF000000"/>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0">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xf numFmtId="0" fontId="2" fillId="0" borderId="0"/>
    <xf numFmtId="0" fontId="3" fillId="0" borderId="0" applyNumberFormat="0" applyFill="0" applyBorder="0" applyAlignment="0" applyProtection="0"/>
    <xf numFmtId="0" fontId="11" fillId="0" borderId="0"/>
    <xf numFmtId="164" fontId="2" fillId="0" borderId="0" applyFont="0" applyFill="0" applyBorder="0" applyAlignment="0" applyProtection="0"/>
    <xf numFmtId="0" fontId="13" fillId="0" borderId="0"/>
    <xf numFmtId="9" fontId="2" fillId="0" borderId="0" applyFont="0" applyFill="0" applyBorder="0" applyAlignment="0" applyProtection="0"/>
  </cellStyleXfs>
  <cellXfs count="107">
    <xf numFmtId="0" fontId="0" fillId="0" borderId="0" xfId="0"/>
    <xf numFmtId="165" fontId="0" fillId="0" borderId="0" xfId="1" applyNumberFormat="1" applyFont="1"/>
    <xf numFmtId="165" fontId="0" fillId="0" borderId="0" xfId="0" applyNumberFormat="1"/>
    <xf numFmtId="0" fontId="0" fillId="0" borderId="0" xfId="0" applyFont="1" applyFill="1"/>
    <xf numFmtId="165" fontId="0" fillId="0" borderId="0" xfId="1" applyNumberFormat="1" applyFont="1" applyFill="1"/>
    <xf numFmtId="0" fontId="2" fillId="0" borderId="0" xfId="3"/>
    <xf numFmtId="0" fontId="2" fillId="0" borderId="0" xfId="0" applyFont="1"/>
    <xf numFmtId="0" fontId="0" fillId="0" borderId="1" xfId="0" applyBorder="1"/>
    <xf numFmtId="166" fontId="0" fillId="0" borderId="0" xfId="1" applyNumberFormat="1" applyFont="1"/>
    <xf numFmtId="2" fontId="0" fillId="0" borderId="0" xfId="0" applyNumberFormat="1"/>
    <xf numFmtId="2" fontId="2" fillId="0" borderId="0" xfId="4" applyNumberFormat="1"/>
    <xf numFmtId="9" fontId="0" fillId="0" borderId="0" xfId="2" applyFont="1"/>
    <xf numFmtId="11" fontId="0" fillId="0" borderId="0" xfId="0" applyNumberFormat="1"/>
    <xf numFmtId="166" fontId="2" fillId="0" borderId="0" xfId="1" applyNumberFormat="1" applyFont="1"/>
    <xf numFmtId="166" fontId="0" fillId="0" borderId="0" xfId="0" applyNumberFormat="1"/>
    <xf numFmtId="0" fontId="0" fillId="0" borderId="0" xfId="0" applyBorder="1"/>
    <xf numFmtId="166" fontId="0" fillId="0" borderId="0" xfId="1" applyNumberFormat="1" applyFont="1" applyBorder="1"/>
    <xf numFmtId="0" fontId="4" fillId="0" borderId="0" xfId="0" applyFont="1" applyFill="1" applyBorder="1"/>
    <xf numFmtId="166" fontId="4" fillId="0" borderId="0" xfId="1" applyNumberFormat="1" applyFont="1" applyBorder="1"/>
    <xf numFmtId="2" fontId="4" fillId="0" borderId="0" xfId="0" applyNumberFormat="1" applyFont="1"/>
    <xf numFmtId="2" fontId="4" fillId="0" borderId="0" xfId="4" applyNumberFormat="1" applyFont="1"/>
    <xf numFmtId="0" fontId="4" fillId="0" borderId="0" xfId="0" applyFont="1"/>
    <xf numFmtId="11" fontId="4" fillId="0" borderId="0" xfId="0" applyNumberFormat="1" applyFont="1"/>
    <xf numFmtId="166" fontId="4" fillId="0" borderId="0" xfId="1" applyNumberFormat="1" applyFont="1"/>
    <xf numFmtId="166" fontId="4" fillId="0" borderId="0" xfId="0" applyNumberFormat="1" applyFont="1"/>
    <xf numFmtId="0" fontId="2" fillId="0" borderId="1" xfId="4" applyBorder="1"/>
    <xf numFmtId="0" fontId="3" fillId="0" borderId="1" xfId="5" applyBorder="1"/>
    <xf numFmtId="0" fontId="2" fillId="0" borderId="1" xfId="0" applyFont="1" applyBorder="1"/>
    <xf numFmtId="166" fontId="5" fillId="0" borderId="0" xfId="1" applyNumberFormat="1" applyFont="1"/>
    <xf numFmtId="0" fontId="0" fillId="0" borderId="0" xfId="0" applyFont="1"/>
    <xf numFmtId="0" fontId="2" fillId="0" borderId="0" xfId="0" applyFont="1" applyAlignment="1">
      <alignment horizontal="center"/>
    </xf>
    <xf numFmtId="0" fontId="2" fillId="0" borderId="0" xfId="4" applyFont="1"/>
    <xf numFmtId="0" fontId="2" fillId="0" borderId="1" xfId="0" applyFont="1" applyBorder="1" applyAlignment="1">
      <alignment horizontal="center"/>
    </xf>
    <xf numFmtId="0" fontId="0" fillId="0" borderId="1" xfId="0" applyFont="1" applyBorder="1"/>
    <xf numFmtId="0" fontId="2" fillId="0" borderId="1" xfId="0" applyFont="1" applyFill="1" applyBorder="1" applyAlignment="1">
      <alignment horizontal="center"/>
    </xf>
    <xf numFmtId="9" fontId="4" fillId="2" borderId="0" xfId="2" applyFont="1" applyFill="1"/>
    <xf numFmtId="166" fontId="0" fillId="2" borderId="0" xfId="1" applyNumberFormat="1" applyFont="1" applyFill="1"/>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7" xfId="0" applyFont="1" applyBorder="1" applyAlignment="1">
      <alignment horizontal="center" vertical="center"/>
    </xf>
    <xf numFmtId="0" fontId="6" fillId="0" borderId="6" xfId="0" applyFont="1" applyBorder="1" applyAlignment="1">
      <alignment horizontal="center" vertical="center"/>
    </xf>
    <xf numFmtId="0" fontId="7" fillId="0" borderId="8" xfId="0" applyFont="1" applyBorder="1" applyAlignment="1">
      <alignment horizontal="center" vertical="center" wrapText="1"/>
    </xf>
    <xf numFmtId="3" fontId="7" fillId="0" borderId="9" xfId="0" applyNumberFormat="1" applyFont="1" applyBorder="1" applyAlignment="1">
      <alignment horizontal="center" vertical="center" wrapText="1"/>
    </xf>
    <xf numFmtId="3" fontId="7" fillId="0" borderId="0" xfId="0" applyNumberFormat="1" applyFont="1" applyAlignment="1">
      <alignment horizontal="center" vertical="center" wrapText="1"/>
    </xf>
    <xf numFmtId="3" fontId="7" fillId="0" borderId="8" xfId="0" applyNumberFormat="1" applyFont="1" applyBorder="1" applyAlignment="1">
      <alignment horizontal="right" vertical="center"/>
    </xf>
    <xf numFmtId="0" fontId="7" fillId="0" borderId="10" xfId="0" applyFont="1" applyBorder="1" applyAlignment="1">
      <alignment horizontal="center" vertical="center"/>
    </xf>
    <xf numFmtId="3" fontId="7" fillId="0" borderId="0" xfId="0" applyNumberFormat="1" applyFont="1" applyAlignment="1">
      <alignment horizontal="right" vertical="center"/>
    </xf>
    <xf numFmtId="0" fontId="7" fillId="0" borderId="11" xfId="0" applyFont="1" applyBorder="1" applyAlignment="1">
      <alignment horizontal="center" vertical="center" wrapText="1"/>
    </xf>
    <xf numFmtId="3" fontId="7" fillId="0" borderId="12" xfId="0" applyNumberFormat="1" applyFont="1" applyBorder="1" applyAlignment="1">
      <alignment horizontal="center" vertical="center" wrapText="1"/>
    </xf>
    <xf numFmtId="3" fontId="7" fillId="0" borderId="7" xfId="0" applyNumberFormat="1" applyFont="1" applyBorder="1" applyAlignment="1">
      <alignment horizontal="center" vertical="center" wrapText="1"/>
    </xf>
    <xf numFmtId="3" fontId="7" fillId="0" borderId="11" xfId="0" applyNumberFormat="1" applyFont="1" applyBorder="1" applyAlignment="1">
      <alignment horizontal="right" vertical="center"/>
    </xf>
    <xf numFmtId="0" fontId="7" fillId="0" borderId="6" xfId="0" applyFont="1" applyBorder="1" applyAlignment="1">
      <alignment horizontal="center" vertical="center"/>
    </xf>
    <xf numFmtId="3" fontId="7" fillId="0" borderId="7" xfId="0" applyNumberFormat="1" applyFont="1" applyBorder="1" applyAlignment="1">
      <alignment horizontal="right" vertical="center"/>
    </xf>
    <xf numFmtId="0" fontId="0" fillId="2" borderId="0" xfId="0" applyFill="1"/>
    <xf numFmtId="0" fontId="0" fillId="0" borderId="0" xfId="0" applyFill="1"/>
    <xf numFmtId="167" fontId="0" fillId="0" borderId="0" xfId="0" applyNumberFormat="1"/>
    <xf numFmtId="0" fontId="0" fillId="3" borderId="18" xfId="0" applyFill="1" applyBorder="1"/>
    <xf numFmtId="0" fontId="0" fillId="3" borderId="19" xfId="0" applyFill="1" applyBorder="1"/>
    <xf numFmtId="0" fontId="0" fillId="3" borderId="20" xfId="0" applyFill="1" applyBorder="1"/>
    <xf numFmtId="0" fontId="0" fillId="3" borderId="21" xfId="0" applyFill="1" applyBorder="1"/>
    <xf numFmtId="0" fontId="0" fillId="3" borderId="0" xfId="0" applyFill="1" applyBorder="1"/>
    <xf numFmtId="0" fontId="0" fillId="3" borderId="22" xfId="0" applyFill="1" applyBorder="1"/>
    <xf numFmtId="168" fontId="0" fillId="3" borderId="0" xfId="1" applyNumberFormat="1" applyFont="1" applyFill="1" applyBorder="1"/>
    <xf numFmtId="0" fontId="0" fillId="3" borderId="0" xfId="0" quotePrefix="1" applyFill="1" applyBorder="1"/>
    <xf numFmtId="164" fontId="0" fillId="3" borderId="22" xfId="0" applyNumberFormat="1" applyFill="1" applyBorder="1"/>
    <xf numFmtId="0" fontId="0" fillId="3" borderId="0" xfId="0" applyFill="1" applyBorder="1" applyAlignment="1">
      <alignment horizontal="right"/>
    </xf>
    <xf numFmtId="165" fontId="0" fillId="2" borderId="0" xfId="1" applyNumberFormat="1" applyFont="1" applyFill="1" applyBorder="1"/>
    <xf numFmtId="165" fontId="0" fillId="3" borderId="0" xfId="1" applyNumberFormat="1" applyFont="1" applyFill="1" applyBorder="1"/>
    <xf numFmtId="0" fontId="0" fillId="3" borderId="23" xfId="0" applyFill="1" applyBorder="1"/>
    <xf numFmtId="0" fontId="0" fillId="3" borderId="1" xfId="0" applyFill="1" applyBorder="1"/>
    <xf numFmtId="0" fontId="0" fillId="3" borderId="24" xfId="0" applyFill="1" applyBorder="1"/>
    <xf numFmtId="168" fontId="0" fillId="0" borderId="0" xfId="0" applyNumberFormat="1"/>
    <xf numFmtId="164" fontId="0" fillId="0" borderId="0" xfId="1" applyNumberFormat="1" applyFont="1"/>
    <xf numFmtId="0" fontId="8" fillId="2" borderId="0" xfId="0" applyFont="1" applyFill="1"/>
    <xf numFmtId="2" fontId="8" fillId="2" borderId="0" xfId="0" applyNumberFormat="1" applyFont="1" applyFill="1"/>
    <xf numFmtId="165" fontId="8" fillId="2" borderId="0" xfId="1" applyNumberFormat="1" applyFont="1" applyFill="1"/>
    <xf numFmtId="2" fontId="9" fillId="2" borderId="0" xfId="0" applyNumberFormat="1" applyFont="1" applyFill="1"/>
    <xf numFmtId="0" fontId="10" fillId="0" borderId="0" xfId="0" applyFont="1"/>
    <xf numFmtId="169" fontId="2" fillId="0" borderId="0" xfId="9" applyNumberFormat="1" applyFont="1" applyFill="1"/>
    <xf numFmtId="9" fontId="2" fillId="0" borderId="0" xfId="9" applyFont="1" applyFill="1"/>
    <xf numFmtId="9" fontId="11" fillId="0" borderId="0" xfId="6" applyNumberFormat="1" applyFill="1"/>
    <xf numFmtId="2" fontId="0" fillId="0" borderId="0" xfId="0" applyNumberFormat="1" applyFill="1"/>
    <xf numFmtId="0" fontId="0" fillId="0" borderId="0" xfId="0" applyFill="1" applyAlignment="1">
      <alignment horizontal="right"/>
    </xf>
    <xf numFmtId="0" fontId="0" fillId="0" borderId="0" xfId="0" applyFill="1" applyBorder="1"/>
    <xf numFmtId="168" fontId="0" fillId="0" borderId="0" xfId="1" applyNumberFormat="1" applyFont="1" applyFill="1" applyBorder="1"/>
    <xf numFmtId="0" fontId="0" fillId="0" borderId="0" xfId="0" quotePrefix="1" applyFill="1" applyBorder="1"/>
    <xf numFmtId="0" fontId="0" fillId="0" borderId="0" xfId="0" applyFill="1" applyBorder="1" applyAlignment="1">
      <alignment horizontal="right"/>
    </xf>
    <xf numFmtId="165" fontId="0" fillId="0" borderId="0" xfId="1" applyNumberFormat="1" applyFont="1" applyFill="1" applyBorder="1"/>
    <xf numFmtId="164" fontId="0" fillId="0" borderId="0" xfId="0" applyNumberFormat="1" applyFill="1" applyBorder="1"/>
    <xf numFmtId="2" fontId="0" fillId="0" borderId="0" xfId="0" applyNumberFormat="1" applyAlignment="1">
      <alignment horizontal="center"/>
    </xf>
    <xf numFmtId="1" fontId="12" fillId="0" borderId="0" xfId="0" applyNumberFormat="1" applyFont="1"/>
    <xf numFmtId="0" fontId="2" fillId="0" borderId="0" xfId="0" applyFont="1" applyFill="1" applyBorder="1"/>
    <xf numFmtId="165" fontId="0" fillId="2" borderId="0" xfId="1" applyNumberFormat="1" applyFont="1" applyFill="1"/>
    <xf numFmtId="170" fontId="0" fillId="0" borderId="0" xfId="0" applyNumberFormat="1"/>
    <xf numFmtId="2" fontId="0" fillId="2" borderId="0" xfId="0" applyNumberFormat="1" applyFill="1"/>
    <xf numFmtId="165" fontId="0" fillId="2" borderId="0" xfId="0" applyNumberFormat="1" applyFill="1"/>
    <xf numFmtId="1" fontId="0" fillId="2" borderId="0" xfId="0" applyNumberFormat="1" applyFill="1"/>
    <xf numFmtId="1" fontId="0" fillId="2" borderId="0" xfId="1" applyNumberFormat="1" applyFont="1" applyFill="1"/>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xf>
    <xf numFmtId="0" fontId="6" fillId="0" borderId="4" xfId="0" applyFont="1" applyBorder="1" applyAlignment="1">
      <alignment horizontal="center" vertical="center"/>
    </xf>
    <xf numFmtId="0" fontId="2" fillId="0" borderId="0" xfId="0" applyFont="1" applyAlignment="1">
      <alignment horizontal="center"/>
    </xf>
  </cellXfs>
  <cellStyles count="10">
    <cellStyle name="Comma" xfId="1" builtinId="3"/>
    <cellStyle name="Comma 2" xfId="7"/>
    <cellStyle name="Hyperlink" xfId="5" builtinId="8"/>
    <cellStyle name="Normal" xfId="0" builtinId="0"/>
    <cellStyle name="Normal 2" xfId="8"/>
    <cellStyle name="Normal 3" xfId="6"/>
    <cellStyle name="Normal_Chillesc2005" xfId="3"/>
    <cellStyle name="Normal_Ricker Param Calcs Canadian Stocks" xfId="4"/>
    <cellStyle name="Percent" xfId="2" builtinId="5"/>
    <cellStyle name="Percent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1.1896325459317585E-3"/>
                  <c:y val="-0.56784157188684747"/>
                </c:manualLayout>
              </c:layout>
              <c:numFmt formatCode="General" sourceLinked="0"/>
            </c:trendlineLbl>
          </c:trendline>
          <c:xVal>
            <c:numRef>
              <c:f>'S-R_analysis_SMU'!$B$10:$B$39</c:f>
              <c:numCache>
                <c:formatCode>_-* #,##0_-;\-* #,##0_-;_-* "-"??_-;_-@_-</c:formatCode>
                <c:ptCount val="30"/>
                <c:pt idx="0">
                  <c:v>6580.6793045863396</c:v>
                </c:pt>
                <c:pt idx="1">
                  <c:v>6493.960083355978</c:v>
                </c:pt>
                <c:pt idx="2">
                  <c:v>5062.4478573516726</c:v>
                </c:pt>
                <c:pt idx="3">
                  <c:v>10122.607662435004</c:v>
                </c:pt>
                <c:pt idx="4">
                  <c:v>10185.482380811371</c:v>
                </c:pt>
                <c:pt idx="5">
                  <c:v>10638.301450992005</c:v>
                </c:pt>
                <c:pt idx="6">
                  <c:v>11163.471276280721</c:v>
                </c:pt>
                <c:pt idx="7">
                  <c:v>14308.597867930115</c:v>
                </c:pt>
                <c:pt idx="8">
                  <c:v>12411</c:v>
                </c:pt>
                <c:pt idx="9">
                  <c:v>12248</c:v>
                </c:pt>
                <c:pt idx="10">
                  <c:v>7382</c:v>
                </c:pt>
                <c:pt idx="11">
                  <c:v>11357</c:v>
                </c:pt>
                <c:pt idx="12">
                  <c:v>15251</c:v>
                </c:pt>
                <c:pt idx="13">
                  <c:v>32043</c:v>
                </c:pt>
                <c:pt idx="14">
                  <c:v>22334</c:v>
                </c:pt>
                <c:pt idx="15">
                  <c:v>8876.535736647118</c:v>
                </c:pt>
                <c:pt idx="16">
                  <c:v>9881.6437627308624</c:v>
                </c:pt>
                <c:pt idx="17">
                  <c:v>24248</c:v>
                </c:pt>
                <c:pt idx="18">
                  <c:v>29088</c:v>
                </c:pt>
                <c:pt idx="19">
                  <c:v>25033</c:v>
                </c:pt>
                <c:pt idx="20">
                  <c:v>9637.0283640241141</c:v>
                </c:pt>
                <c:pt idx="21">
                  <c:v>16565.818657322903</c:v>
                </c:pt>
                <c:pt idx="22">
                  <c:v>10681.174522241208</c:v>
                </c:pt>
                <c:pt idx="23">
                  <c:v>9108</c:v>
                </c:pt>
                <c:pt idx="24">
                  <c:v>15159.918327582192</c:v>
                </c:pt>
                <c:pt idx="25">
                  <c:v>14604.042402507133</c:v>
                </c:pt>
                <c:pt idx="26">
                  <c:v>13164</c:v>
                </c:pt>
                <c:pt idx="27">
                  <c:v>10999.36163173796</c:v>
                </c:pt>
                <c:pt idx="28">
                  <c:v>23092.052468249742</c:v>
                </c:pt>
                <c:pt idx="29">
                  <c:v>15259.749647978782</c:v>
                </c:pt>
              </c:numCache>
            </c:numRef>
          </c:xVal>
          <c:yVal>
            <c:numRef>
              <c:f>'S-R_analysis_SMU'!$R$10:$R$39</c:f>
              <c:numCache>
                <c:formatCode>0.00</c:formatCode>
                <c:ptCount val="30"/>
                <c:pt idx="0">
                  <c:v>0.72709175271554261</c:v>
                </c:pt>
                <c:pt idx="1">
                  <c:v>1.0392687605221689</c:v>
                </c:pt>
                <c:pt idx="2">
                  <c:v>1.1352620510308684</c:v>
                </c:pt>
                <c:pt idx="3">
                  <c:v>0.86948896503081807</c:v>
                </c:pt>
                <c:pt idx="4">
                  <c:v>0.87244329987021818</c:v>
                </c:pt>
                <c:pt idx="5">
                  <c:v>0.29195139735250186</c:v>
                </c:pt>
                <c:pt idx="6">
                  <c:v>-0.18529869824500622</c:v>
                </c:pt>
                <c:pt idx="7">
                  <c:v>-0.49182124920750042</c:v>
                </c:pt>
                <c:pt idx="8">
                  <c:v>1.045558340079485</c:v>
                </c:pt>
                <c:pt idx="9">
                  <c:v>1.531472959597111</c:v>
                </c:pt>
                <c:pt idx="10">
                  <c:v>0.57332366122792244</c:v>
                </c:pt>
                <c:pt idx="11">
                  <c:v>-0.26269039555831059</c:v>
                </c:pt>
                <c:pt idx="12">
                  <c:v>-0.69472282914229366</c:v>
                </c:pt>
                <c:pt idx="13">
                  <c:v>0.23896954734911802</c:v>
                </c:pt>
                <c:pt idx="14">
                  <c:v>0.74857095021846765</c:v>
                </c:pt>
                <c:pt idx="15">
                  <c:v>0.77613654085500872</c:v>
                </c:pt>
                <c:pt idx="16">
                  <c:v>0.63303398056154114</c:v>
                </c:pt>
                <c:pt idx="17">
                  <c:v>-0.33701242591390157</c:v>
                </c:pt>
                <c:pt idx="18">
                  <c:v>-0.3336041698430397</c:v>
                </c:pt>
                <c:pt idx="19">
                  <c:v>-0.92723268470680043</c:v>
                </c:pt>
                <c:pt idx="20">
                  <c:v>0.64805055176873438</c:v>
                </c:pt>
                <c:pt idx="21">
                  <c:v>0.13378558594699899</c:v>
                </c:pt>
                <c:pt idx="22">
                  <c:v>0.97051857430263744</c:v>
                </c:pt>
                <c:pt idx="23">
                  <c:v>0.7173865877716471</c:v>
                </c:pt>
                <c:pt idx="24">
                  <c:v>-9.4054858480310637E-3</c:v>
                </c:pt>
                <c:pt idx="25">
                  <c:v>1.3640291618230247</c:v>
                </c:pt>
                <c:pt idx="26">
                  <c:v>0.4863888528863029</c:v>
                </c:pt>
                <c:pt idx="27">
                  <c:v>1.6684952428764357</c:v>
                </c:pt>
                <c:pt idx="28">
                  <c:v>0.45803138837744317</c:v>
                </c:pt>
                <c:pt idx="29">
                  <c:v>6.9945855305548227E-2</c:v>
                </c:pt>
              </c:numCache>
            </c:numRef>
          </c:yVal>
          <c:smooth val="0"/>
          <c:extLst>
            <c:ext xmlns:c16="http://schemas.microsoft.com/office/drawing/2014/chart" uri="{C3380CC4-5D6E-409C-BE32-E72D297353CC}">
              <c16:uniqueId val="{00000000-0379-4E45-805D-61D7592F1428}"/>
            </c:ext>
          </c:extLst>
        </c:ser>
        <c:dLbls>
          <c:showLegendKey val="0"/>
          <c:showVal val="0"/>
          <c:showCatName val="0"/>
          <c:showSerName val="0"/>
          <c:showPercent val="0"/>
          <c:showBubbleSize val="0"/>
        </c:dLbls>
        <c:axId val="388236032"/>
        <c:axId val="388237952"/>
      </c:scatterChart>
      <c:valAx>
        <c:axId val="388236032"/>
        <c:scaling>
          <c:orientation val="minMax"/>
        </c:scaling>
        <c:delete val="0"/>
        <c:axPos val="b"/>
        <c:numFmt formatCode="_-* #,##0_-;\-* #,##0_-;_-* &quot;-&quot;??_-;_-@_-" sourceLinked="1"/>
        <c:majorTickMark val="out"/>
        <c:minorTickMark val="none"/>
        <c:tickLblPos val="nextTo"/>
        <c:crossAx val="388237952"/>
        <c:crosses val="autoZero"/>
        <c:crossBetween val="midCat"/>
      </c:valAx>
      <c:valAx>
        <c:axId val="388237952"/>
        <c:scaling>
          <c:orientation val="minMax"/>
        </c:scaling>
        <c:delete val="0"/>
        <c:axPos val="l"/>
        <c:numFmt formatCode="0.00" sourceLinked="1"/>
        <c:majorTickMark val="out"/>
        <c:minorTickMark val="none"/>
        <c:tickLblPos val="nextTo"/>
        <c:crossAx val="388236032"/>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61351706036746"/>
          <c:y val="7.4548702245552642E-2"/>
          <c:w val="0.79076837270341205"/>
          <c:h val="0.8326195683872849"/>
        </c:manualLayout>
      </c:layout>
      <c:scatterChart>
        <c:scatterStyle val="lineMarker"/>
        <c:varyColors val="0"/>
        <c:ser>
          <c:idx val="0"/>
          <c:order val="0"/>
          <c:spPr>
            <a:ln w="28575">
              <a:noFill/>
            </a:ln>
          </c:spPr>
          <c:xVal>
            <c:numRef>
              <c:f>'S-R_analysis_SMU'!$B$10:$B$39</c:f>
              <c:numCache>
                <c:formatCode>_-* #,##0_-;\-* #,##0_-;_-* "-"??_-;_-@_-</c:formatCode>
                <c:ptCount val="30"/>
                <c:pt idx="0">
                  <c:v>6580.6793045863396</c:v>
                </c:pt>
                <c:pt idx="1">
                  <c:v>6493.960083355978</c:v>
                </c:pt>
                <c:pt idx="2">
                  <c:v>5062.4478573516726</c:v>
                </c:pt>
                <c:pt idx="3">
                  <c:v>10122.607662435004</c:v>
                </c:pt>
                <c:pt idx="4">
                  <c:v>10185.482380811371</c:v>
                </c:pt>
                <c:pt idx="5">
                  <c:v>10638.301450992005</c:v>
                </c:pt>
                <c:pt idx="6">
                  <c:v>11163.471276280721</c:v>
                </c:pt>
                <c:pt idx="7">
                  <c:v>14308.597867930115</c:v>
                </c:pt>
                <c:pt idx="8">
                  <c:v>12411</c:v>
                </c:pt>
                <c:pt idx="9">
                  <c:v>12248</c:v>
                </c:pt>
                <c:pt idx="10">
                  <c:v>7382</c:v>
                </c:pt>
                <c:pt idx="11">
                  <c:v>11357</c:v>
                </c:pt>
                <c:pt idx="12">
                  <c:v>15251</c:v>
                </c:pt>
                <c:pt idx="13">
                  <c:v>32043</c:v>
                </c:pt>
                <c:pt idx="14">
                  <c:v>22334</c:v>
                </c:pt>
                <c:pt idx="15">
                  <c:v>8876.535736647118</c:v>
                </c:pt>
                <c:pt idx="16">
                  <c:v>9881.6437627308624</c:v>
                </c:pt>
                <c:pt idx="17">
                  <c:v>24248</c:v>
                </c:pt>
                <c:pt idx="18">
                  <c:v>29088</c:v>
                </c:pt>
                <c:pt idx="19">
                  <c:v>25033</c:v>
                </c:pt>
                <c:pt idx="20">
                  <c:v>9637.0283640241141</c:v>
                </c:pt>
                <c:pt idx="21">
                  <c:v>16565.818657322903</c:v>
                </c:pt>
                <c:pt idx="22">
                  <c:v>10681.174522241208</c:v>
                </c:pt>
                <c:pt idx="23">
                  <c:v>9108</c:v>
                </c:pt>
                <c:pt idx="24">
                  <c:v>15159.918327582192</c:v>
                </c:pt>
                <c:pt idx="25">
                  <c:v>14604.042402507133</c:v>
                </c:pt>
                <c:pt idx="26">
                  <c:v>13164</c:v>
                </c:pt>
                <c:pt idx="27">
                  <c:v>10999.36163173796</c:v>
                </c:pt>
                <c:pt idx="28">
                  <c:v>23092.052468249742</c:v>
                </c:pt>
                <c:pt idx="29">
                  <c:v>15259.749647978782</c:v>
                </c:pt>
              </c:numCache>
            </c:numRef>
          </c:xVal>
          <c:yVal>
            <c:numRef>
              <c:f>'S-R_analysis_SMU'!$P$10:$P$39</c:f>
              <c:numCache>
                <c:formatCode>_-* #,##0_-;\-* #,##0_-;_-* "-"??_-;_-@_-</c:formatCode>
                <c:ptCount val="30"/>
                <c:pt idx="0">
                  <c:v>13615.784306188794</c:v>
                </c:pt>
                <c:pt idx="1">
                  <c:v>18359.392336202622</c:v>
                </c:pt>
                <c:pt idx="2">
                  <c:v>15754.281721012991</c:v>
                </c:pt>
                <c:pt idx="3">
                  <c:v>24149.417744552433</c:v>
                </c:pt>
                <c:pt idx="4">
                  <c:v>24371.312181353504</c:v>
                </c:pt>
                <c:pt idx="5">
                  <c:v>14245.089209705162</c:v>
                </c:pt>
                <c:pt idx="6">
                  <c:v>9275.2378892849811</c:v>
                </c:pt>
                <c:pt idx="7">
                  <c:v>8749.8744954183676</c:v>
                </c:pt>
                <c:pt idx="8">
                  <c:v>35309.128075744498</c:v>
                </c:pt>
                <c:pt idx="9">
                  <c:v>56646.806756607446</c:v>
                </c:pt>
                <c:pt idx="10">
                  <c:v>13096.80445655019</c:v>
                </c:pt>
                <c:pt idx="11">
                  <c:v>8733.3051793150935</c:v>
                </c:pt>
                <c:pt idx="12">
                  <c:v>7613.4943525598246</c:v>
                </c:pt>
                <c:pt idx="13">
                  <c:v>40692.68302881749</c:v>
                </c:pt>
                <c:pt idx="14">
                  <c:v>47213.559611635392</c:v>
                </c:pt>
                <c:pt idx="15">
                  <c:v>19289.249152868011</c:v>
                </c:pt>
                <c:pt idx="16">
                  <c:v>18610.256458263844</c:v>
                </c:pt>
                <c:pt idx="17">
                  <c:v>17310.646448022399</c:v>
                </c:pt>
                <c:pt idx="18">
                  <c:v>20836.818626455726</c:v>
                </c:pt>
                <c:pt idx="19">
                  <c:v>9904.2332794345093</c:v>
                </c:pt>
                <c:pt idx="20">
                  <c:v>18424.169305496227</c:v>
                </c:pt>
                <c:pt idx="21">
                  <c:v>18937.177272052839</c:v>
                </c:pt>
                <c:pt idx="22">
                  <c:v>28190.960468114725</c:v>
                </c:pt>
                <c:pt idx="23">
                  <c:v>18662.939938310243</c:v>
                </c:pt>
                <c:pt idx="24">
                  <c:v>15018.000380125683</c:v>
                </c:pt>
                <c:pt idx="25">
                  <c:v>57129.894673038951</c:v>
                </c:pt>
                <c:pt idx="26">
                  <c:v>21410.355009985153</c:v>
                </c:pt>
                <c:pt idx="27">
                  <c:v>58342.597125496919</c:v>
                </c:pt>
                <c:pt idx="28">
                  <c:v>36507.579541924897</c:v>
                </c:pt>
                <c:pt idx="29">
                  <c:v>16365.32022209625</c:v>
                </c:pt>
              </c:numCache>
            </c:numRef>
          </c:yVal>
          <c:smooth val="0"/>
          <c:extLst>
            <c:ext xmlns:c16="http://schemas.microsoft.com/office/drawing/2014/chart" uri="{C3380CC4-5D6E-409C-BE32-E72D297353CC}">
              <c16:uniqueId val="{00000000-4039-4DE6-856B-66A9E0E34D0F}"/>
            </c:ext>
          </c:extLst>
        </c:ser>
        <c:ser>
          <c:idx val="1"/>
          <c:order val="1"/>
          <c:spPr>
            <a:ln w="28575">
              <a:noFill/>
            </a:ln>
          </c:spPr>
          <c:marker>
            <c:symbol val="square"/>
            <c:size val="5"/>
          </c:marker>
          <c:xVal>
            <c:numRef>
              <c:f>'S-R_analysis_SMU'!$AD$31:$AD$70</c:f>
              <c:numCache>
                <c:formatCode>General</c:formatCode>
                <c:ptCount val="40"/>
                <c:pt idx="0">
                  <c:v>1000</c:v>
                </c:pt>
                <c:pt idx="1">
                  <c:v>2000</c:v>
                </c:pt>
                <c:pt idx="2">
                  <c:v>3000</c:v>
                </c:pt>
                <c:pt idx="3">
                  <c:v>4000</c:v>
                </c:pt>
                <c:pt idx="4">
                  <c:v>5000</c:v>
                </c:pt>
                <c:pt idx="5">
                  <c:v>6000</c:v>
                </c:pt>
                <c:pt idx="6">
                  <c:v>7000</c:v>
                </c:pt>
                <c:pt idx="7">
                  <c:v>8000</c:v>
                </c:pt>
                <c:pt idx="8">
                  <c:v>9000</c:v>
                </c:pt>
                <c:pt idx="9">
                  <c:v>10000</c:v>
                </c:pt>
                <c:pt idx="10">
                  <c:v>11000</c:v>
                </c:pt>
                <c:pt idx="11">
                  <c:v>12000</c:v>
                </c:pt>
                <c:pt idx="12">
                  <c:v>13000</c:v>
                </c:pt>
                <c:pt idx="13">
                  <c:v>14000</c:v>
                </c:pt>
                <c:pt idx="14">
                  <c:v>15000</c:v>
                </c:pt>
                <c:pt idx="15">
                  <c:v>16000</c:v>
                </c:pt>
                <c:pt idx="16">
                  <c:v>17000</c:v>
                </c:pt>
                <c:pt idx="17">
                  <c:v>18000</c:v>
                </c:pt>
                <c:pt idx="18">
                  <c:v>19000</c:v>
                </c:pt>
                <c:pt idx="19">
                  <c:v>20000</c:v>
                </c:pt>
                <c:pt idx="20">
                  <c:v>21000</c:v>
                </c:pt>
                <c:pt idx="21">
                  <c:v>22000</c:v>
                </c:pt>
                <c:pt idx="22">
                  <c:v>23000</c:v>
                </c:pt>
                <c:pt idx="23">
                  <c:v>24000</c:v>
                </c:pt>
                <c:pt idx="24">
                  <c:v>25000</c:v>
                </c:pt>
                <c:pt idx="25">
                  <c:v>26000</c:v>
                </c:pt>
                <c:pt idx="26">
                  <c:v>27000</c:v>
                </c:pt>
                <c:pt idx="27">
                  <c:v>28000</c:v>
                </c:pt>
                <c:pt idx="28">
                  <c:v>29000</c:v>
                </c:pt>
                <c:pt idx="29">
                  <c:v>30000</c:v>
                </c:pt>
                <c:pt idx="30">
                  <c:v>31000</c:v>
                </c:pt>
                <c:pt idx="31">
                  <c:v>32000</c:v>
                </c:pt>
                <c:pt idx="32">
                  <c:v>33000</c:v>
                </c:pt>
                <c:pt idx="33">
                  <c:v>34000</c:v>
                </c:pt>
                <c:pt idx="34">
                  <c:v>35000</c:v>
                </c:pt>
                <c:pt idx="35">
                  <c:v>36000</c:v>
                </c:pt>
                <c:pt idx="36">
                  <c:v>37000</c:v>
                </c:pt>
                <c:pt idx="37">
                  <c:v>38000</c:v>
                </c:pt>
                <c:pt idx="38">
                  <c:v>39000</c:v>
                </c:pt>
                <c:pt idx="39">
                  <c:v>40000</c:v>
                </c:pt>
              </c:numCache>
            </c:numRef>
          </c:xVal>
          <c:yVal>
            <c:numRef>
              <c:f>'S-R_analysis_SMU'!$AE$31:$AE$70</c:f>
              <c:numCache>
                <c:formatCode>General</c:formatCode>
                <c:ptCount val="40"/>
                <c:pt idx="0">
                  <c:v>1000</c:v>
                </c:pt>
                <c:pt idx="1">
                  <c:v>2000</c:v>
                </c:pt>
                <c:pt idx="2">
                  <c:v>3000</c:v>
                </c:pt>
                <c:pt idx="3">
                  <c:v>4000</c:v>
                </c:pt>
                <c:pt idx="4">
                  <c:v>5000</c:v>
                </c:pt>
                <c:pt idx="5">
                  <c:v>6000</c:v>
                </c:pt>
                <c:pt idx="6">
                  <c:v>7000</c:v>
                </c:pt>
                <c:pt idx="7">
                  <c:v>8000</c:v>
                </c:pt>
                <c:pt idx="8">
                  <c:v>9000</c:v>
                </c:pt>
                <c:pt idx="9">
                  <c:v>10000</c:v>
                </c:pt>
                <c:pt idx="10">
                  <c:v>11000</c:v>
                </c:pt>
                <c:pt idx="11">
                  <c:v>12000</c:v>
                </c:pt>
                <c:pt idx="12">
                  <c:v>13000</c:v>
                </c:pt>
                <c:pt idx="13">
                  <c:v>14000</c:v>
                </c:pt>
                <c:pt idx="14">
                  <c:v>15000</c:v>
                </c:pt>
                <c:pt idx="15">
                  <c:v>16000</c:v>
                </c:pt>
                <c:pt idx="16">
                  <c:v>17000</c:v>
                </c:pt>
                <c:pt idx="17">
                  <c:v>18000</c:v>
                </c:pt>
                <c:pt idx="18">
                  <c:v>19000</c:v>
                </c:pt>
                <c:pt idx="19">
                  <c:v>20000</c:v>
                </c:pt>
                <c:pt idx="20">
                  <c:v>21000</c:v>
                </c:pt>
                <c:pt idx="21">
                  <c:v>22000</c:v>
                </c:pt>
                <c:pt idx="22">
                  <c:v>23000</c:v>
                </c:pt>
                <c:pt idx="23">
                  <c:v>24000</c:v>
                </c:pt>
                <c:pt idx="24">
                  <c:v>25000</c:v>
                </c:pt>
                <c:pt idx="25">
                  <c:v>26000</c:v>
                </c:pt>
                <c:pt idx="26">
                  <c:v>27000</c:v>
                </c:pt>
                <c:pt idx="27">
                  <c:v>28000</c:v>
                </c:pt>
                <c:pt idx="28">
                  <c:v>29000</c:v>
                </c:pt>
                <c:pt idx="29">
                  <c:v>30000</c:v>
                </c:pt>
                <c:pt idx="30">
                  <c:v>31000</c:v>
                </c:pt>
                <c:pt idx="31">
                  <c:v>32000</c:v>
                </c:pt>
                <c:pt idx="32">
                  <c:v>33000</c:v>
                </c:pt>
                <c:pt idx="33">
                  <c:v>34000</c:v>
                </c:pt>
                <c:pt idx="34">
                  <c:v>35000</c:v>
                </c:pt>
                <c:pt idx="35">
                  <c:v>36000</c:v>
                </c:pt>
                <c:pt idx="36">
                  <c:v>37000</c:v>
                </c:pt>
                <c:pt idx="37">
                  <c:v>38000</c:v>
                </c:pt>
                <c:pt idx="38">
                  <c:v>39000</c:v>
                </c:pt>
                <c:pt idx="39">
                  <c:v>40000</c:v>
                </c:pt>
              </c:numCache>
            </c:numRef>
          </c:yVal>
          <c:smooth val="0"/>
          <c:extLst>
            <c:ext xmlns:c16="http://schemas.microsoft.com/office/drawing/2014/chart" uri="{C3380CC4-5D6E-409C-BE32-E72D297353CC}">
              <c16:uniqueId val="{00000001-4039-4DE6-856B-66A9E0E34D0F}"/>
            </c:ext>
          </c:extLst>
        </c:ser>
        <c:ser>
          <c:idx val="2"/>
          <c:order val="2"/>
          <c:spPr>
            <a:ln w="28575">
              <a:noFill/>
            </a:ln>
          </c:spPr>
          <c:xVal>
            <c:numRef>
              <c:f>'S-R_analysis_SMU'!$B$10:$B$39</c:f>
              <c:numCache>
                <c:formatCode>_-* #,##0_-;\-* #,##0_-;_-* "-"??_-;_-@_-</c:formatCode>
                <c:ptCount val="30"/>
                <c:pt idx="0">
                  <c:v>6580.6793045863396</c:v>
                </c:pt>
                <c:pt idx="1">
                  <c:v>6493.960083355978</c:v>
                </c:pt>
                <c:pt idx="2">
                  <c:v>5062.4478573516726</c:v>
                </c:pt>
                <c:pt idx="3">
                  <c:v>10122.607662435004</c:v>
                </c:pt>
                <c:pt idx="4">
                  <c:v>10185.482380811371</c:v>
                </c:pt>
                <c:pt idx="5">
                  <c:v>10638.301450992005</c:v>
                </c:pt>
                <c:pt idx="6">
                  <c:v>11163.471276280721</c:v>
                </c:pt>
                <c:pt idx="7">
                  <c:v>14308.597867930115</c:v>
                </c:pt>
                <c:pt idx="8">
                  <c:v>12411</c:v>
                </c:pt>
                <c:pt idx="9">
                  <c:v>12248</c:v>
                </c:pt>
                <c:pt idx="10">
                  <c:v>7382</c:v>
                </c:pt>
                <c:pt idx="11">
                  <c:v>11357</c:v>
                </c:pt>
                <c:pt idx="12">
                  <c:v>15251</c:v>
                </c:pt>
                <c:pt idx="13">
                  <c:v>32043</c:v>
                </c:pt>
                <c:pt idx="14">
                  <c:v>22334</c:v>
                </c:pt>
                <c:pt idx="15">
                  <c:v>8876.535736647118</c:v>
                </c:pt>
                <c:pt idx="16">
                  <c:v>9881.6437627308624</c:v>
                </c:pt>
                <c:pt idx="17">
                  <c:v>24248</c:v>
                </c:pt>
                <c:pt idx="18">
                  <c:v>29088</c:v>
                </c:pt>
                <c:pt idx="19">
                  <c:v>25033</c:v>
                </c:pt>
                <c:pt idx="20">
                  <c:v>9637.0283640241141</c:v>
                </c:pt>
                <c:pt idx="21">
                  <c:v>16565.818657322903</c:v>
                </c:pt>
                <c:pt idx="22">
                  <c:v>10681.174522241208</c:v>
                </c:pt>
                <c:pt idx="23">
                  <c:v>9108</c:v>
                </c:pt>
                <c:pt idx="24">
                  <c:v>15159.918327582192</c:v>
                </c:pt>
                <c:pt idx="25">
                  <c:v>14604.042402507133</c:v>
                </c:pt>
                <c:pt idx="26">
                  <c:v>13164</c:v>
                </c:pt>
                <c:pt idx="27">
                  <c:v>10999.36163173796</c:v>
                </c:pt>
                <c:pt idx="28">
                  <c:v>23092.052468249742</c:v>
                </c:pt>
                <c:pt idx="29">
                  <c:v>15259.749647978782</c:v>
                </c:pt>
              </c:numCache>
            </c:numRef>
          </c:xVal>
          <c:yVal>
            <c:numRef>
              <c:f>'S-R_analysis_SMU'!$S$10:$S$39</c:f>
              <c:numCache>
                <c:formatCode>_-* #,##0.00_-;\-* #,##0.00_-;_-* "-"??_-;_-@_-</c:formatCode>
                <c:ptCount val="30"/>
                <c:pt idx="0">
                  <c:v>14933.259673546288</c:v>
                </c:pt>
                <c:pt idx="1">
                  <c:v>14797.936230337937</c:v>
                </c:pt>
                <c:pt idx="2">
                  <c:v>12356.393003919409</c:v>
                </c:pt>
                <c:pt idx="3">
                  <c:v>19379.628135418829</c:v>
                </c:pt>
                <c:pt idx="4">
                  <c:v>19441.242817088783</c:v>
                </c:pt>
                <c:pt idx="5">
                  <c:v>19868.989655177935</c:v>
                </c:pt>
                <c:pt idx="6">
                  <c:v>20330.856756660287</c:v>
                </c:pt>
                <c:pt idx="7">
                  <c:v>22407.525801716081</c:v>
                </c:pt>
                <c:pt idx="8">
                  <c:v>21289.167868058026</c:v>
                </c:pt>
                <c:pt idx="9">
                  <c:v>21174.579473861235</c:v>
                </c:pt>
                <c:pt idx="10">
                  <c:v>16119.610594131953</c:v>
                </c:pt>
                <c:pt idx="11">
                  <c:v>20492.076844900716</c:v>
                </c:pt>
                <c:pt idx="12">
                  <c:v>22827.110760435629</c:v>
                </c:pt>
                <c:pt idx="13">
                  <c:v>21421.979279652856</c:v>
                </c:pt>
                <c:pt idx="14">
                  <c:v>23794.428822016707</c:v>
                </c:pt>
                <c:pt idx="15">
                  <c:v>18041.418648981737</c:v>
                </c:pt>
                <c:pt idx="16">
                  <c:v>19138.37575205891</c:v>
                </c:pt>
                <c:pt idx="17">
                  <c:v>23566.099783187412</c:v>
                </c:pt>
                <c:pt idx="18">
                  <c:v>22409.735295868482</c:v>
                </c:pt>
                <c:pt idx="19">
                  <c:v>23429.418256018489</c:v>
                </c:pt>
                <c:pt idx="20">
                  <c:v>18885.043285687483</c:v>
                </c:pt>
                <c:pt idx="21">
                  <c:v>23278.681110539666</c:v>
                </c:pt>
                <c:pt idx="22">
                  <c:v>19908.054496379427</c:v>
                </c:pt>
                <c:pt idx="23">
                  <c:v>18307.345166177576</c:v>
                </c:pt>
                <c:pt idx="24">
                  <c:v>22790.196386086114</c:v>
                </c:pt>
                <c:pt idx="25">
                  <c:v>22548.176425368885</c:v>
                </c:pt>
                <c:pt idx="26">
                  <c:v>21779.285889963627</c:v>
                </c:pt>
                <c:pt idx="27">
                  <c:v>20190.391392628484</c:v>
                </c:pt>
                <c:pt idx="28">
                  <c:v>23723.012708018105</c:v>
                </c:pt>
                <c:pt idx="29">
                  <c:v>22830.617015804251</c:v>
                </c:pt>
              </c:numCache>
            </c:numRef>
          </c:yVal>
          <c:smooth val="0"/>
          <c:extLst>
            <c:ext xmlns:c16="http://schemas.microsoft.com/office/drawing/2014/chart" uri="{C3380CC4-5D6E-409C-BE32-E72D297353CC}">
              <c16:uniqueId val="{00000002-4039-4DE6-856B-66A9E0E34D0F}"/>
            </c:ext>
          </c:extLst>
        </c:ser>
        <c:dLbls>
          <c:showLegendKey val="0"/>
          <c:showVal val="0"/>
          <c:showCatName val="0"/>
          <c:showSerName val="0"/>
          <c:showPercent val="0"/>
          <c:showBubbleSize val="0"/>
        </c:dLbls>
        <c:axId val="390756224"/>
        <c:axId val="391316224"/>
      </c:scatterChart>
      <c:valAx>
        <c:axId val="390756224"/>
        <c:scaling>
          <c:orientation val="minMax"/>
          <c:max val="40000"/>
        </c:scaling>
        <c:delete val="0"/>
        <c:axPos val="b"/>
        <c:numFmt formatCode="_-* #,##0_-;\-* #,##0_-;_-* &quot;-&quot;??_-;_-@_-" sourceLinked="1"/>
        <c:majorTickMark val="out"/>
        <c:minorTickMark val="none"/>
        <c:tickLblPos val="nextTo"/>
        <c:crossAx val="391316224"/>
        <c:crosses val="autoZero"/>
        <c:crossBetween val="midCat"/>
      </c:valAx>
      <c:valAx>
        <c:axId val="391316224"/>
        <c:scaling>
          <c:orientation val="minMax"/>
        </c:scaling>
        <c:delete val="0"/>
        <c:axPos val="l"/>
        <c:numFmt formatCode="_-* #,##0_-;\-* #,##0_-;_-* &quot;-&quot;??_-;_-@_-" sourceLinked="1"/>
        <c:majorTickMark val="out"/>
        <c:minorTickMark val="none"/>
        <c:tickLblPos val="nextTo"/>
        <c:crossAx val="390756224"/>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'S-R_analysis_SMU'!$B$58:$B$91</c:f>
              <c:numCache>
                <c:formatCode>General</c:formatCode>
                <c:ptCount val="34"/>
                <c:pt idx="0">
                  <c:v>8195</c:v>
                </c:pt>
                <c:pt idx="1">
                  <c:v>10466</c:v>
                </c:pt>
                <c:pt idx="2">
                  <c:v>7147</c:v>
                </c:pt>
                <c:pt idx="3">
                  <c:v>10625</c:v>
                </c:pt>
                <c:pt idx="4">
                  <c:v>6826</c:v>
                </c:pt>
                <c:pt idx="5">
                  <c:v>7821</c:v>
                </c:pt>
                <c:pt idx="6">
                  <c:v>8145</c:v>
                </c:pt>
                <c:pt idx="7">
                  <c:v>4845</c:v>
                </c:pt>
                <c:pt idx="8">
                  <c:v>10224</c:v>
                </c:pt>
                <c:pt idx="9">
                  <c:v>11811</c:v>
                </c:pt>
                <c:pt idx="10">
                  <c:v>7884</c:v>
                </c:pt>
                <c:pt idx="11">
                  <c:v>7780</c:v>
                </c:pt>
                <c:pt idx="12">
                  <c:v>10404</c:v>
                </c:pt>
                <c:pt idx="13">
                  <c:v>11335</c:v>
                </c:pt>
                <c:pt idx="14">
                  <c:v>13399</c:v>
                </c:pt>
                <c:pt idx="15">
                  <c:v>8816</c:v>
                </c:pt>
                <c:pt idx="16">
                  <c:v>8049</c:v>
                </c:pt>
                <c:pt idx="17">
                  <c:v>18464</c:v>
                </c:pt>
                <c:pt idx="18">
                  <c:v>24227</c:v>
                </c:pt>
                <c:pt idx="19">
                  <c:v>24876</c:v>
                </c:pt>
                <c:pt idx="20">
                  <c:v>12717</c:v>
                </c:pt>
                <c:pt idx="21">
                  <c:v>7545</c:v>
                </c:pt>
                <c:pt idx="22">
                  <c:v>18683</c:v>
                </c:pt>
                <c:pt idx="23">
                  <c:v>25984</c:v>
                </c:pt>
                <c:pt idx="24">
                  <c:v>24254</c:v>
                </c:pt>
                <c:pt idx="25">
                  <c:v>18624</c:v>
                </c:pt>
                <c:pt idx="26">
                  <c:v>8542</c:v>
                </c:pt>
                <c:pt idx="27">
                  <c:v>15736</c:v>
                </c:pt>
                <c:pt idx="28">
                  <c:v>8667</c:v>
                </c:pt>
                <c:pt idx="29">
                  <c:v>12392</c:v>
                </c:pt>
                <c:pt idx="30">
                  <c:v>8624</c:v>
                </c:pt>
                <c:pt idx="31">
                  <c:v>15385</c:v>
                </c:pt>
                <c:pt idx="32">
                  <c:v>14438</c:v>
                </c:pt>
                <c:pt idx="33">
                  <c:v>12516</c:v>
                </c:pt>
              </c:numCache>
            </c:numRef>
          </c:xVal>
          <c:yVal>
            <c:numRef>
              <c:f>'S-R_analysis_SMU'!$C$58:$C$91</c:f>
              <c:numCache>
                <c:formatCode>General</c:formatCode>
                <c:ptCount val="34"/>
                <c:pt idx="0">
                  <c:v>43494</c:v>
                </c:pt>
                <c:pt idx="1">
                  <c:v>37521</c:v>
                </c:pt>
                <c:pt idx="2">
                  <c:v>19470</c:v>
                </c:pt>
                <c:pt idx="3">
                  <c:v>21909</c:v>
                </c:pt>
                <c:pt idx="4">
                  <c:v>1617</c:v>
                </c:pt>
                <c:pt idx="5">
                  <c:v>45905</c:v>
                </c:pt>
                <c:pt idx="6">
                  <c:v>21258</c:v>
                </c:pt>
                <c:pt idx="7">
                  <c:v>26260</c:v>
                </c:pt>
                <c:pt idx="8">
                  <c:v>24072</c:v>
                </c:pt>
                <c:pt idx="9">
                  <c:v>39175</c:v>
                </c:pt>
                <c:pt idx="10">
                  <c:v>37952</c:v>
                </c:pt>
                <c:pt idx="11">
                  <c:v>31109</c:v>
                </c:pt>
                <c:pt idx="12">
                  <c:v>14673</c:v>
                </c:pt>
                <c:pt idx="13">
                  <c:v>14236</c:v>
                </c:pt>
                <c:pt idx="14">
                  <c:v>41232</c:v>
                </c:pt>
                <c:pt idx="15">
                  <c:v>87242</c:v>
                </c:pt>
                <c:pt idx="16">
                  <c:v>24258</c:v>
                </c:pt>
                <c:pt idx="17">
                  <c:v>13757</c:v>
                </c:pt>
                <c:pt idx="18">
                  <c:v>12526</c:v>
                </c:pt>
                <c:pt idx="19">
                  <c:v>55974</c:v>
                </c:pt>
                <c:pt idx="20">
                  <c:v>83850</c:v>
                </c:pt>
                <c:pt idx="21">
                  <c:v>23971</c:v>
                </c:pt>
                <c:pt idx="22">
                  <c:v>23885</c:v>
                </c:pt>
                <c:pt idx="23">
                  <c:v>30409</c:v>
                </c:pt>
                <c:pt idx="24">
                  <c:v>36114</c:v>
                </c:pt>
                <c:pt idx="25">
                  <c:v>18254</c:v>
                </c:pt>
                <c:pt idx="26">
                  <c:v>23390</c:v>
                </c:pt>
                <c:pt idx="27">
                  <c:v>24697</c:v>
                </c:pt>
                <c:pt idx="28">
                  <c:v>43474</c:v>
                </c:pt>
                <c:pt idx="29">
                  <c:v>23260</c:v>
                </c:pt>
                <c:pt idx="30">
                  <c:v>20267</c:v>
                </c:pt>
                <c:pt idx="31">
                  <c:v>48390</c:v>
                </c:pt>
                <c:pt idx="32">
                  <c:v>30141</c:v>
                </c:pt>
                <c:pt idx="33">
                  <c:v>79038</c:v>
                </c:pt>
              </c:numCache>
            </c:numRef>
          </c:yVal>
          <c:smooth val="0"/>
          <c:extLst>
            <c:ext xmlns:c16="http://schemas.microsoft.com/office/drawing/2014/chart" uri="{C3380CC4-5D6E-409C-BE32-E72D297353CC}">
              <c16:uniqueId val="{00000000-93BB-4B23-8B16-F864CC609176}"/>
            </c:ext>
          </c:extLst>
        </c:ser>
        <c:dLbls>
          <c:showLegendKey val="0"/>
          <c:showVal val="0"/>
          <c:showCatName val="0"/>
          <c:showSerName val="0"/>
          <c:showPercent val="0"/>
          <c:showBubbleSize val="0"/>
        </c:dLbls>
        <c:axId val="421805440"/>
        <c:axId val="421803904"/>
      </c:scatterChart>
      <c:valAx>
        <c:axId val="421805440"/>
        <c:scaling>
          <c:orientation val="minMax"/>
        </c:scaling>
        <c:delete val="0"/>
        <c:axPos val="b"/>
        <c:numFmt formatCode="General" sourceLinked="1"/>
        <c:majorTickMark val="out"/>
        <c:minorTickMark val="none"/>
        <c:tickLblPos val="nextTo"/>
        <c:crossAx val="421803904"/>
        <c:crosses val="autoZero"/>
        <c:crossBetween val="midCat"/>
      </c:valAx>
      <c:valAx>
        <c:axId val="421803904"/>
        <c:scaling>
          <c:orientation val="minMax"/>
        </c:scaling>
        <c:delete val="0"/>
        <c:axPos val="l"/>
        <c:numFmt formatCode="General" sourceLinked="1"/>
        <c:majorTickMark val="out"/>
        <c:minorTickMark val="none"/>
        <c:tickLblPos val="nextTo"/>
        <c:crossAx val="421805440"/>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1.1896325459317585E-3"/>
                  <c:y val="-0.56784157188684747"/>
                </c:manualLayout>
              </c:layout>
              <c:numFmt formatCode="General" sourceLinked="0"/>
            </c:trendlineLbl>
          </c:trendline>
          <c:xVal>
            <c:numRef>
              <c:f>'S-R_analysis_SMU'!$B$10:$B$39</c:f>
              <c:numCache>
                <c:formatCode>_-* #,##0_-;\-* #,##0_-;_-* "-"??_-;_-@_-</c:formatCode>
                <c:ptCount val="30"/>
                <c:pt idx="0">
                  <c:v>6580.6793045863396</c:v>
                </c:pt>
                <c:pt idx="1">
                  <c:v>6493.960083355978</c:v>
                </c:pt>
                <c:pt idx="2">
                  <c:v>5062.4478573516726</c:v>
                </c:pt>
                <c:pt idx="3">
                  <c:v>10122.607662435004</c:v>
                </c:pt>
                <c:pt idx="4">
                  <c:v>10185.482380811371</c:v>
                </c:pt>
                <c:pt idx="5">
                  <c:v>10638.301450992005</c:v>
                </c:pt>
                <c:pt idx="6">
                  <c:v>11163.471276280721</c:v>
                </c:pt>
                <c:pt idx="7">
                  <c:v>14308.597867930115</c:v>
                </c:pt>
                <c:pt idx="8">
                  <c:v>12411</c:v>
                </c:pt>
                <c:pt idx="9">
                  <c:v>12248</c:v>
                </c:pt>
                <c:pt idx="10">
                  <c:v>7382</c:v>
                </c:pt>
                <c:pt idx="11">
                  <c:v>11357</c:v>
                </c:pt>
                <c:pt idx="12">
                  <c:v>15251</c:v>
                </c:pt>
                <c:pt idx="13">
                  <c:v>32043</c:v>
                </c:pt>
                <c:pt idx="14">
                  <c:v>22334</c:v>
                </c:pt>
                <c:pt idx="15">
                  <c:v>8876.535736647118</c:v>
                </c:pt>
                <c:pt idx="16">
                  <c:v>9881.6437627308624</c:v>
                </c:pt>
                <c:pt idx="17">
                  <c:v>24248</c:v>
                </c:pt>
                <c:pt idx="18">
                  <c:v>29088</c:v>
                </c:pt>
                <c:pt idx="19">
                  <c:v>25033</c:v>
                </c:pt>
                <c:pt idx="20">
                  <c:v>9637.0283640241141</c:v>
                </c:pt>
                <c:pt idx="21">
                  <c:v>16565.818657322903</c:v>
                </c:pt>
                <c:pt idx="22">
                  <c:v>10681.174522241208</c:v>
                </c:pt>
                <c:pt idx="23">
                  <c:v>9108</c:v>
                </c:pt>
                <c:pt idx="24">
                  <c:v>15159.918327582192</c:v>
                </c:pt>
                <c:pt idx="25">
                  <c:v>14604.042402507133</c:v>
                </c:pt>
                <c:pt idx="26">
                  <c:v>13164</c:v>
                </c:pt>
                <c:pt idx="27">
                  <c:v>10999.36163173796</c:v>
                </c:pt>
                <c:pt idx="28">
                  <c:v>23092.052468249742</c:v>
                </c:pt>
                <c:pt idx="29">
                  <c:v>15259.749647978782</c:v>
                </c:pt>
              </c:numCache>
            </c:numRef>
          </c:xVal>
          <c:yVal>
            <c:numRef>
              <c:f>'S-R_analysis_SMU'!$R$10:$R$39</c:f>
              <c:numCache>
                <c:formatCode>0.00</c:formatCode>
                <c:ptCount val="30"/>
                <c:pt idx="0">
                  <c:v>0.72709175271554261</c:v>
                </c:pt>
                <c:pt idx="1">
                  <c:v>1.0392687605221689</c:v>
                </c:pt>
                <c:pt idx="2">
                  <c:v>1.1352620510308684</c:v>
                </c:pt>
                <c:pt idx="3">
                  <c:v>0.86948896503081807</c:v>
                </c:pt>
                <c:pt idx="4">
                  <c:v>0.87244329987021818</c:v>
                </c:pt>
                <c:pt idx="5">
                  <c:v>0.29195139735250186</c:v>
                </c:pt>
                <c:pt idx="6">
                  <c:v>-0.18529869824500622</c:v>
                </c:pt>
                <c:pt idx="7">
                  <c:v>-0.49182124920750042</c:v>
                </c:pt>
                <c:pt idx="8">
                  <c:v>1.045558340079485</c:v>
                </c:pt>
                <c:pt idx="9">
                  <c:v>1.531472959597111</c:v>
                </c:pt>
                <c:pt idx="10">
                  <c:v>0.57332366122792244</c:v>
                </c:pt>
                <c:pt idx="11">
                  <c:v>-0.26269039555831059</c:v>
                </c:pt>
                <c:pt idx="12">
                  <c:v>-0.69472282914229366</c:v>
                </c:pt>
                <c:pt idx="13">
                  <c:v>0.23896954734911802</c:v>
                </c:pt>
                <c:pt idx="14">
                  <c:v>0.74857095021846765</c:v>
                </c:pt>
                <c:pt idx="15">
                  <c:v>0.77613654085500872</c:v>
                </c:pt>
                <c:pt idx="16">
                  <c:v>0.63303398056154114</c:v>
                </c:pt>
                <c:pt idx="17">
                  <c:v>-0.33701242591390157</c:v>
                </c:pt>
                <c:pt idx="18">
                  <c:v>-0.3336041698430397</c:v>
                </c:pt>
                <c:pt idx="19">
                  <c:v>-0.92723268470680043</c:v>
                </c:pt>
                <c:pt idx="20">
                  <c:v>0.64805055176873438</c:v>
                </c:pt>
                <c:pt idx="21">
                  <c:v>0.13378558594699899</c:v>
                </c:pt>
                <c:pt idx="22">
                  <c:v>0.97051857430263744</c:v>
                </c:pt>
                <c:pt idx="23">
                  <c:v>0.7173865877716471</c:v>
                </c:pt>
                <c:pt idx="24">
                  <c:v>-9.4054858480310637E-3</c:v>
                </c:pt>
                <c:pt idx="25">
                  <c:v>1.3640291618230247</c:v>
                </c:pt>
                <c:pt idx="26">
                  <c:v>0.4863888528863029</c:v>
                </c:pt>
                <c:pt idx="27">
                  <c:v>1.6684952428764357</c:v>
                </c:pt>
                <c:pt idx="28">
                  <c:v>0.45803138837744317</c:v>
                </c:pt>
                <c:pt idx="29">
                  <c:v>6.9945855305548227E-2</c:v>
                </c:pt>
              </c:numCache>
            </c:numRef>
          </c:yVal>
          <c:smooth val="0"/>
          <c:extLst>
            <c:ext xmlns:c16="http://schemas.microsoft.com/office/drawing/2014/chart" uri="{C3380CC4-5D6E-409C-BE32-E72D297353CC}">
              <c16:uniqueId val="{00000000-009D-4383-BC9B-F9BEE83D50C8}"/>
            </c:ext>
          </c:extLst>
        </c:ser>
        <c:dLbls>
          <c:showLegendKey val="0"/>
          <c:showVal val="0"/>
          <c:showCatName val="0"/>
          <c:showSerName val="0"/>
          <c:showPercent val="0"/>
          <c:showBubbleSize val="0"/>
        </c:dLbls>
        <c:axId val="388236032"/>
        <c:axId val="388237952"/>
      </c:scatterChart>
      <c:valAx>
        <c:axId val="388236032"/>
        <c:scaling>
          <c:orientation val="minMax"/>
        </c:scaling>
        <c:delete val="0"/>
        <c:axPos val="b"/>
        <c:numFmt formatCode="_-* #,##0_-;\-* #,##0_-;_-* &quot;-&quot;??_-;_-@_-" sourceLinked="1"/>
        <c:majorTickMark val="out"/>
        <c:minorTickMark val="none"/>
        <c:tickLblPos val="nextTo"/>
        <c:crossAx val="388237952"/>
        <c:crosses val="autoZero"/>
        <c:crossBetween val="midCat"/>
      </c:valAx>
      <c:valAx>
        <c:axId val="388237952"/>
        <c:scaling>
          <c:orientation val="minMax"/>
        </c:scaling>
        <c:delete val="0"/>
        <c:axPos val="l"/>
        <c:numFmt formatCode="0.00" sourceLinked="1"/>
        <c:majorTickMark val="out"/>
        <c:minorTickMark val="none"/>
        <c:tickLblPos val="nextTo"/>
        <c:crossAx val="388236032"/>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61351706036746"/>
          <c:y val="7.4548702245552642E-2"/>
          <c:w val="0.79076837270341205"/>
          <c:h val="0.8326195683872849"/>
        </c:manualLayout>
      </c:layout>
      <c:scatterChart>
        <c:scatterStyle val="lineMarker"/>
        <c:varyColors val="0"/>
        <c:ser>
          <c:idx val="0"/>
          <c:order val="0"/>
          <c:spPr>
            <a:ln w="28575">
              <a:noFill/>
            </a:ln>
          </c:spPr>
          <c:xVal>
            <c:numRef>
              <c:f>'S-R_analysis_SMU'!$B$10:$B$39</c:f>
              <c:numCache>
                <c:formatCode>_-* #,##0_-;\-* #,##0_-;_-* "-"??_-;_-@_-</c:formatCode>
                <c:ptCount val="30"/>
                <c:pt idx="0">
                  <c:v>6580.6793045863396</c:v>
                </c:pt>
                <c:pt idx="1">
                  <c:v>6493.960083355978</c:v>
                </c:pt>
                <c:pt idx="2">
                  <c:v>5062.4478573516726</c:v>
                </c:pt>
                <c:pt idx="3">
                  <c:v>10122.607662435004</c:v>
                </c:pt>
                <c:pt idx="4">
                  <c:v>10185.482380811371</c:v>
                </c:pt>
                <c:pt idx="5">
                  <c:v>10638.301450992005</c:v>
                </c:pt>
                <c:pt idx="6">
                  <c:v>11163.471276280721</c:v>
                </c:pt>
                <c:pt idx="7">
                  <c:v>14308.597867930115</c:v>
                </c:pt>
                <c:pt idx="8">
                  <c:v>12411</c:v>
                </c:pt>
                <c:pt idx="9">
                  <c:v>12248</c:v>
                </c:pt>
                <c:pt idx="10">
                  <c:v>7382</c:v>
                </c:pt>
                <c:pt idx="11">
                  <c:v>11357</c:v>
                </c:pt>
                <c:pt idx="12">
                  <c:v>15251</c:v>
                </c:pt>
                <c:pt idx="13">
                  <c:v>32043</c:v>
                </c:pt>
                <c:pt idx="14">
                  <c:v>22334</c:v>
                </c:pt>
                <c:pt idx="15">
                  <c:v>8876.535736647118</c:v>
                </c:pt>
                <c:pt idx="16">
                  <c:v>9881.6437627308624</c:v>
                </c:pt>
                <c:pt idx="17">
                  <c:v>24248</c:v>
                </c:pt>
                <c:pt idx="18">
                  <c:v>29088</c:v>
                </c:pt>
                <c:pt idx="19">
                  <c:v>25033</c:v>
                </c:pt>
                <c:pt idx="20">
                  <c:v>9637.0283640241141</c:v>
                </c:pt>
                <c:pt idx="21">
                  <c:v>16565.818657322903</c:v>
                </c:pt>
                <c:pt idx="22">
                  <c:v>10681.174522241208</c:v>
                </c:pt>
                <c:pt idx="23">
                  <c:v>9108</c:v>
                </c:pt>
                <c:pt idx="24">
                  <c:v>15159.918327582192</c:v>
                </c:pt>
                <c:pt idx="25">
                  <c:v>14604.042402507133</c:v>
                </c:pt>
                <c:pt idx="26">
                  <c:v>13164</c:v>
                </c:pt>
                <c:pt idx="27">
                  <c:v>10999.36163173796</c:v>
                </c:pt>
                <c:pt idx="28">
                  <c:v>23092.052468249742</c:v>
                </c:pt>
                <c:pt idx="29">
                  <c:v>15259.749647978782</c:v>
                </c:pt>
              </c:numCache>
            </c:numRef>
          </c:xVal>
          <c:yVal>
            <c:numRef>
              <c:f>'S-R_analysis_SMU'!$P$10:$P$39</c:f>
              <c:numCache>
                <c:formatCode>_-* #,##0_-;\-* #,##0_-;_-* "-"??_-;_-@_-</c:formatCode>
                <c:ptCount val="30"/>
                <c:pt idx="0">
                  <c:v>13615.784306188794</c:v>
                </c:pt>
                <c:pt idx="1">
                  <c:v>18359.392336202622</c:v>
                </c:pt>
                <c:pt idx="2">
                  <c:v>15754.281721012991</c:v>
                </c:pt>
                <c:pt idx="3">
                  <c:v>24149.417744552433</c:v>
                </c:pt>
                <c:pt idx="4">
                  <c:v>24371.312181353504</c:v>
                </c:pt>
                <c:pt idx="5">
                  <c:v>14245.089209705162</c:v>
                </c:pt>
                <c:pt idx="6">
                  <c:v>9275.2378892849811</c:v>
                </c:pt>
                <c:pt idx="7">
                  <c:v>8749.8744954183676</c:v>
                </c:pt>
                <c:pt idx="8">
                  <c:v>35309.128075744498</c:v>
                </c:pt>
                <c:pt idx="9">
                  <c:v>56646.806756607446</c:v>
                </c:pt>
                <c:pt idx="10">
                  <c:v>13096.80445655019</c:v>
                </c:pt>
                <c:pt idx="11">
                  <c:v>8733.3051793150935</c:v>
                </c:pt>
                <c:pt idx="12">
                  <c:v>7613.4943525598246</c:v>
                </c:pt>
                <c:pt idx="13">
                  <c:v>40692.68302881749</c:v>
                </c:pt>
                <c:pt idx="14">
                  <c:v>47213.559611635392</c:v>
                </c:pt>
                <c:pt idx="15">
                  <c:v>19289.249152868011</c:v>
                </c:pt>
                <c:pt idx="16">
                  <c:v>18610.256458263844</c:v>
                </c:pt>
                <c:pt idx="17">
                  <c:v>17310.646448022399</c:v>
                </c:pt>
                <c:pt idx="18">
                  <c:v>20836.818626455726</c:v>
                </c:pt>
                <c:pt idx="19">
                  <c:v>9904.2332794345093</c:v>
                </c:pt>
                <c:pt idx="20">
                  <c:v>18424.169305496227</c:v>
                </c:pt>
                <c:pt idx="21">
                  <c:v>18937.177272052839</c:v>
                </c:pt>
                <c:pt idx="22">
                  <c:v>28190.960468114725</c:v>
                </c:pt>
                <c:pt idx="23">
                  <c:v>18662.939938310243</c:v>
                </c:pt>
                <c:pt idx="24">
                  <c:v>15018.000380125683</c:v>
                </c:pt>
                <c:pt idx="25">
                  <c:v>57129.894673038951</c:v>
                </c:pt>
                <c:pt idx="26">
                  <c:v>21410.355009985153</c:v>
                </c:pt>
                <c:pt idx="27">
                  <c:v>58342.597125496919</c:v>
                </c:pt>
                <c:pt idx="28">
                  <c:v>36507.579541924897</c:v>
                </c:pt>
                <c:pt idx="29">
                  <c:v>16365.32022209625</c:v>
                </c:pt>
              </c:numCache>
            </c:numRef>
          </c:yVal>
          <c:smooth val="0"/>
          <c:extLst>
            <c:ext xmlns:c16="http://schemas.microsoft.com/office/drawing/2014/chart" uri="{C3380CC4-5D6E-409C-BE32-E72D297353CC}">
              <c16:uniqueId val="{00000000-9627-4D17-8C6C-CB16198E6BD0}"/>
            </c:ext>
          </c:extLst>
        </c:ser>
        <c:ser>
          <c:idx val="1"/>
          <c:order val="1"/>
          <c:spPr>
            <a:ln w="28575">
              <a:noFill/>
            </a:ln>
          </c:spPr>
          <c:marker>
            <c:symbol val="square"/>
            <c:size val="5"/>
          </c:marker>
          <c:xVal>
            <c:numRef>
              <c:f>'S-R_analysis_SMU'!$AD$31:$AD$70</c:f>
              <c:numCache>
                <c:formatCode>General</c:formatCode>
                <c:ptCount val="40"/>
                <c:pt idx="0">
                  <c:v>1000</c:v>
                </c:pt>
                <c:pt idx="1">
                  <c:v>2000</c:v>
                </c:pt>
                <c:pt idx="2">
                  <c:v>3000</c:v>
                </c:pt>
                <c:pt idx="3">
                  <c:v>4000</c:v>
                </c:pt>
                <c:pt idx="4">
                  <c:v>5000</c:v>
                </c:pt>
                <c:pt idx="5">
                  <c:v>6000</c:v>
                </c:pt>
                <c:pt idx="6">
                  <c:v>7000</c:v>
                </c:pt>
                <c:pt idx="7">
                  <c:v>8000</c:v>
                </c:pt>
                <c:pt idx="8">
                  <c:v>9000</c:v>
                </c:pt>
                <c:pt idx="9">
                  <c:v>10000</c:v>
                </c:pt>
                <c:pt idx="10">
                  <c:v>11000</c:v>
                </c:pt>
                <c:pt idx="11">
                  <c:v>12000</c:v>
                </c:pt>
                <c:pt idx="12">
                  <c:v>13000</c:v>
                </c:pt>
                <c:pt idx="13">
                  <c:v>14000</c:v>
                </c:pt>
                <c:pt idx="14">
                  <c:v>15000</c:v>
                </c:pt>
                <c:pt idx="15">
                  <c:v>16000</c:v>
                </c:pt>
                <c:pt idx="16">
                  <c:v>17000</c:v>
                </c:pt>
                <c:pt idx="17">
                  <c:v>18000</c:v>
                </c:pt>
                <c:pt idx="18">
                  <c:v>19000</c:v>
                </c:pt>
                <c:pt idx="19">
                  <c:v>20000</c:v>
                </c:pt>
                <c:pt idx="20">
                  <c:v>21000</c:v>
                </c:pt>
                <c:pt idx="21">
                  <c:v>22000</c:v>
                </c:pt>
                <c:pt idx="22">
                  <c:v>23000</c:v>
                </c:pt>
                <c:pt idx="23">
                  <c:v>24000</c:v>
                </c:pt>
                <c:pt idx="24">
                  <c:v>25000</c:v>
                </c:pt>
                <c:pt idx="25">
                  <c:v>26000</c:v>
                </c:pt>
                <c:pt idx="26">
                  <c:v>27000</c:v>
                </c:pt>
                <c:pt idx="27">
                  <c:v>28000</c:v>
                </c:pt>
                <c:pt idx="28">
                  <c:v>29000</c:v>
                </c:pt>
                <c:pt idx="29">
                  <c:v>30000</c:v>
                </c:pt>
                <c:pt idx="30">
                  <c:v>31000</c:v>
                </c:pt>
                <c:pt idx="31">
                  <c:v>32000</c:v>
                </c:pt>
                <c:pt idx="32">
                  <c:v>33000</c:v>
                </c:pt>
                <c:pt idx="33">
                  <c:v>34000</c:v>
                </c:pt>
                <c:pt idx="34">
                  <c:v>35000</c:v>
                </c:pt>
                <c:pt idx="35">
                  <c:v>36000</c:v>
                </c:pt>
                <c:pt idx="36">
                  <c:v>37000</c:v>
                </c:pt>
                <c:pt idx="37">
                  <c:v>38000</c:v>
                </c:pt>
                <c:pt idx="38">
                  <c:v>39000</c:v>
                </c:pt>
                <c:pt idx="39">
                  <c:v>40000</c:v>
                </c:pt>
              </c:numCache>
            </c:numRef>
          </c:xVal>
          <c:yVal>
            <c:numRef>
              <c:f>'S-R_analysis_SMU'!$AE$31:$AE$70</c:f>
              <c:numCache>
                <c:formatCode>General</c:formatCode>
                <c:ptCount val="40"/>
                <c:pt idx="0">
                  <c:v>1000</c:v>
                </c:pt>
                <c:pt idx="1">
                  <c:v>2000</c:v>
                </c:pt>
                <c:pt idx="2">
                  <c:v>3000</c:v>
                </c:pt>
                <c:pt idx="3">
                  <c:v>4000</c:v>
                </c:pt>
                <c:pt idx="4">
                  <c:v>5000</c:v>
                </c:pt>
                <c:pt idx="5">
                  <c:v>6000</c:v>
                </c:pt>
                <c:pt idx="6">
                  <c:v>7000</c:v>
                </c:pt>
                <c:pt idx="7">
                  <c:v>8000</c:v>
                </c:pt>
                <c:pt idx="8">
                  <c:v>9000</c:v>
                </c:pt>
                <c:pt idx="9">
                  <c:v>10000</c:v>
                </c:pt>
                <c:pt idx="10">
                  <c:v>11000</c:v>
                </c:pt>
                <c:pt idx="11">
                  <c:v>12000</c:v>
                </c:pt>
                <c:pt idx="12">
                  <c:v>13000</c:v>
                </c:pt>
                <c:pt idx="13">
                  <c:v>14000</c:v>
                </c:pt>
                <c:pt idx="14">
                  <c:v>15000</c:v>
                </c:pt>
                <c:pt idx="15">
                  <c:v>16000</c:v>
                </c:pt>
                <c:pt idx="16">
                  <c:v>17000</c:v>
                </c:pt>
                <c:pt idx="17">
                  <c:v>18000</c:v>
                </c:pt>
                <c:pt idx="18">
                  <c:v>19000</c:v>
                </c:pt>
                <c:pt idx="19">
                  <c:v>20000</c:v>
                </c:pt>
                <c:pt idx="20">
                  <c:v>21000</c:v>
                </c:pt>
                <c:pt idx="21">
                  <c:v>22000</c:v>
                </c:pt>
                <c:pt idx="22">
                  <c:v>23000</c:v>
                </c:pt>
                <c:pt idx="23">
                  <c:v>24000</c:v>
                </c:pt>
                <c:pt idx="24">
                  <c:v>25000</c:v>
                </c:pt>
                <c:pt idx="25">
                  <c:v>26000</c:v>
                </c:pt>
                <c:pt idx="26">
                  <c:v>27000</c:v>
                </c:pt>
                <c:pt idx="27">
                  <c:v>28000</c:v>
                </c:pt>
                <c:pt idx="28">
                  <c:v>29000</c:v>
                </c:pt>
                <c:pt idx="29">
                  <c:v>30000</c:v>
                </c:pt>
                <c:pt idx="30">
                  <c:v>31000</c:v>
                </c:pt>
                <c:pt idx="31">
                  <c:v>32000</c:v>
                </c:pt>
                <c:pt idx="32">
                  <c:v>33000</c:v>
                </c:pt>
                <c:pt idx="33">
                  <c:v>34000</c:v>
                </c:pt>
                <c:pt idx="34">
                  <c:v>35000</c:v>
                </c:pt>
                <c:pt idx="35">
                  <c:v>36000</c:v>
                </c:pt>
                <c:pt idx="36">
                  <c:v>37000</c:v>
                </c:pt>
                <c:pt idx="37">
                  <c:v>38000</c:v>
                </c:pt>
                <c:pt idx="38">
                  <c:v>39000</c:v>
                </c:pt>
                <c:pt idx="39">
                  <c:v>40000</c:v>
                </c:pt>
              </c:numCache>
            </c:numRef>
          </c:yVal>
          <c:smooth val="0"/>
          <c:extLst>
            <c:ext xmlns:c16="http://schemas.microsoft.com/office/drawing/2014/chart" uri="{C3380CC4-5D6E-409C-BE32-E72D297353CC}">
              <c16:uniqueId val="{00000001-9627-4D17-8C6C-CB16198E6BD0}"/>
            </c:ext>
          </c:extLst>
        </c:ser>
        <c:ser>
          <c:idx val="2"/>
          <c:order val="2"/>
          <c:spPr>
            <a:ln w="28575">
              <a:noFill/>
            </a:ln>
          </c:spPr>
          <c:xVal>
            <c:numRef>
              <c:f>'S-R_analysis_SMU'!$B$10:$B$39</c:f>
              <c:numCache>
                <c:formatCode>_-* #,##0_-;\-* #,##0_-;_-* "-"??_-;_-@_-</c:formatCode>
                <c:ptCount val="30"/>
                <c:pt idx="0">
                  <c:v>6580.6793045863396</c:v>
                </c:pt>
                <c:pt idx="1">
                  <c:v>6493.960083355978</c:v>
                </c:pt>
                <c:pt idx="2">
                  <c:v>5062.4478573516726</c:v>
                </c:pt>
                <c:pt idx="3">
                  <c:v>10122.607662435004</c:v>
                </c:pt>
                <c:pt idx="4">
                  <c:v>10185.482380811371</c:v>
                </c:pt>
                <c:pt idx="5">
                  <c:v>10638.301450992005</c:v>
                </c:pt>
                <c:pt idx="6">
                  <c:v>11163.471276280721</c:v>
                </c:pt>
                <c:pt idx="7">
                  <c:v>14308.597867930115</c:v>
                </c:pt>
                <c:pt idx="8">
                  <c:v>12411</c:v>
                </c:pt>
                <c:pt idx="9">
                  <c:v>12248</c:v>
                </c:pt>
                <c:pt idx="10">
                  <c:v>7382</c:v>
                </c:pt>
                <c:pt idx="11">
                  <c:v>11357</c:v>
                </c:pt>
                <c:pt idx="12">
                  <c:v>15251</c:v>
                </c:pt>
                <c:pt idx="13">
                  <c:v>32043</c:v>
                </c:pt>
                <c:pt idx="14">
                  <c:v>22334</c:v>
                </c:pt>
                <c:pt idx="15">
                  <c:v>8876.535736647118</c:v>
                </c:pt>
                <c:pt idx="16">
                  <c:v>9881.6437627308624</c:v>
                </c:pt>
                <c:pt idx="17">
                  <c:v>24248</c:v>
                </c:pt>
                <c:pt idx="18">
                  <c:v>29088</c:v>
                </c:pt>
                <c:pt idx="19">
                  <c:v>25033</c:v>
                </c:pt>
                <c:pt idx="20">
                  <c:v>9637.0283640241141</c:v>
                </c:pt>
                <c:pt idx="21">
                  <c:v>16565.818657322903</c:v>
                </c:pt>
                <c:pt idx="22">
                  <c:v>10681.174522241208</c:v>
                </c:pt>
                <c:pt idx="23">
                  <c:v>9108</c:v>
                </c:pt>
                <c:pt idx="24">
                  <c:v>15159.918327582192</c:v>
                </c:pt>
                <c:pt idx="25">
                  <c:v>14604.042402507133</c:v>
                </c:pt>
                <c:pt idx="26">
                  <c:v>13164</c:v>
                </c:pt>
                <c:pt idx="27">
                  <c:v>10999.36163173796</c:v>
                </c:pt>
                <c:pt idx="28">
                  <c:v>23092.052468249742</c:v>
                </c:pt>
                <c:pt idx="29">
                  <c:v>15259.749647978782</c:v>
                </c:pt>
              </c:numCache>
            </c:numRef>
          </c:xVal>
          <c:yVal>
            <c:numRef>
              <c:f>'S-R_analysis_SMU'!$S$10:$S$39</c:f>
              <c:numCache>
                <c:formatCode>_-* #,##0.00_-;\-* #,##0.00_-;_-* "-"??_-;_-@_-</c:formatCode>
                <c:ptCount val="30"/>
                <c:pt idx="0">
                  <c:v>14933.259673546288</c:v>
                </c:pt>
                <c:pt idx="1">
                  <c:v>14797.936230337937</c:v>
                </c:pt>
                <c:pt idx="2">
                  <c:v>12356.393003919409</c:v>
                </c:pt>
                <c:pt idx="3">
                  <c:v>19379.628135418829</c:v>
                </c:pt>
                <c:pt idx="4">
                  <c:v>19441.242817088783</c:v>
                </c:pt>
                <c:pt idx="5">
                  <c:v>19868.989655177935</c:v>
                </c:pt>
                <c:pt idx="6">
                  <c:v>20330.856756660287</c:v>
                </c:pt>
                <c:pt idx="7">
                  <c:v>22407.525801716081</c:v>
                </c:pt>
                <c:pt idx="8">
                  <c:v>21289.167868058026</c:v>
                </c:pt>
                <c:pt idx="9">
                  <c:v>21174.579473861235</c:v>
                </c:pt>
                <c:pt idx="10">
                  <c:v>16119.610594131953</c:v>
                </c:pt>
                <c:pt idx="11">
                  <c:v>20492.076844900716</c:v>
                </c:pt>
                <c:pt idx="12">
                  <c:v>22827.110760435629</c:v>
                </c:pt>
                <c:pt idx="13">
                  <c:v>21421.979279652856</c:v>
                </c:pt>
                <c:pt idx="14">
                  <c:v>23794.428822016707</c:v>
                </c:pt>
                <c:pt idx="15">
                  <c:v>18041.418648981737</c:v>
                </c:pt>
                <c:pt idx="16">
                  <c:v>19138.37575205891</c:v>
                </c:pt>
                <c:pt idx="17">
                  <c:v>23566.099783187412</c:v>
                </c:pt>
                <c:pt idx="18">
                  <c:v>22409.735295868482</c:v>
                </c:pt>
                <c:pt idx="19">
                  <c:v>23429.418256018489</c:v>
                </c:pt>
                <c:pt idx="20">
                  <c:v>18885.043285687483</c:v>
                </c:pt>
                <c:pt idx="21">
                  <c:v>23278.681110539666</c:v>
                </c:pt>
                <c:pt idx="22">
                  <c:v>19908.054496379427</c:v>
                </c:pt>
                <c:pt idx="23">
                  <c:v>18307.345166177576</c:v>
                </c:pt>
                <c:pt idx="24">
                  <c:v>22790.196386086114</c:v>
                </c:pt>
                <c:pt idx="25">
                  <c:v>22548.176425368885</c:v>
                </c:pt>
                <c:pt idx="26">
                  <c:v>21779.285889963627</c:v>
                </c:pt>
                <c:pt idx="27">
                  <c:v>20190.391392628484</c:v>
                </c:pt>
                <c:pt idx="28">
                  <c:v>23723.012708018105</c:v>
                </c:pt>
                <c:pt idx="29">
                  <c:v>22830.617015804251</c:v>
                </c:pt>
              </c:numCache>
            </c:numRef>
          </c:yVal>
          <c:smooth val="0"/>
          <c:extLst>
            <c:ext xmlns:c16="http://schemas.microsoft.com/office/drawing/2014/chart" uri="{C3380CC4-5D6E-409C-BE32-E72D297353CC}">
              <c16:uniqueId val="{00000002-9627-4D17-8C6C-CB16198E6BD0}"/>
            </c:ext>
          </c:extLst>
        </c:ser>
        <c:dLbls>
          <c:showLegendKey val="0"/>
          <c:showVal val="0"/>
          <c:showCatName val="0"/>
          <c:showSerName val="0"/>
          <c:showPercent val="0"/>
          <c:showBubbleSize val="0"/>
        </c:dLbls>
        <c:axId val="390756224"/>
        <c:axId val="391316224"/>
      </c:scatterChart>
      <c:valAx>
        <c:axId val="390756224"/>
        <c:scaling>
          <c:orientation val="minMax"/>
          <c:max val="40000"/>
        </c:scaling>
        <c:delete val="0"/>
        <c:axPos val="b"/>
        <c:numFmt formatCode="_-* #,##0_-;\-* #,##0_-;_-* &quot;-&quot;??_-;_-@_-" sourceLinked="1"/>
        <c:majorTickMark val="out"/>
        <c:minorTickMark val="none"/>
        <c:tickLblPos val="nextTo"/>
        <c:crossAx val="391316224"/>
        <c:crosses val="autoZero"/>
        <c:crossBetween val="midCat"/>
      </c:valAx>
      <c:valAx>
        <c:axId val="391316224"/>
        <c:scaling>
          <c:orientation val="minMax"/>
        </c:scaling>
        <c:delete val="0"/>
        <c:axPos val="l"/>
        <c:numFmt formatCode="_-* #,##0_-;\-* #,##0_-;_-* &quot;-&quot;??_-;_-@_-" sourceLinked="1"/>
        <c:majorTickMark val="out"/>
        <c:minorTickMark val="none"/>
        <c:tickLblPos val="nextTo"/>
        <c:crossAx val="390756224"/>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1.1896325459317585E-3"/>
                  <c:y val="-0.56784157188684747"/>
                </c:manualLayout>
              </c:layout>
              <c:numFmt formatCode="General" sourceLinked="0"/>
            </c:trendlineLbl>
          </c:trendline>
          <c:xVal>
            <c:numRef>
              <c:f>'S-R_analysis_SMU'!$B$10:$B$39</c:f>
              <c:numCache>
                <c:formatCode>_-* #,##0_-;\-* #,##0_-;_-* "-"??_-;_-@_-</c:formatCode>
                <c:ptCount val="30"/>
                <c:pt idx="0">
                  <c:v>6580.6793045863396</c:v>
                </c:pt>
                <c:pt idx="1">
                  <c:v>6493.960083355978</c:v>
                </c:pt>
                <c:pt idx="2">
                  <c:v>5062.4478573516726</c:v>
                </c:pt>
                <c:pt idx="3">
                  <c:v>10122.607662435004</c:v>
                </c:pt>
                <c:pt idx="4">
                  <c:v>10185.482380811371</c:v>
                </c:pt>
                <c:pt idx="5">
                  <c:v>10638.301450992005</c:v>
                </c:pt>
                <c:pt idx="6">
                  <c:v>11163.471276280721</c:v>
                </c:pt>
                <c:pt idx="7">
                  <c:v>14308.597867930115</c:v>
                </c:pt>
                <c:pt idx="8">
                  <c:v>12411</c:v>
                </c:pt>
                <c:pt idx="9">
                  <c:v>12248</c:v>
                </c:pt>
                <c:pt idx="10">
                  <c:v>7382</c:v>
                </c:pt>
                <c:pt idx="11">
                  <c:v>11357</c:v>
                </c:pt>
                <c:pt idx="12">
                  <c:v>15251</c:v>
                </c:pt>
                <c:pt idx="13">
                  <c:v>32043</c:v>
                </c:pt>
                <c:pt idx="14">
                  <c:v>22334</c:v>
                </c:pt>
                <c:pt idx="15">
                  <c:v>8876.535736647118</c:v>
                </c:pt>
                <c:pt idx="16">
                  <c:v>9881.6437627308624</c:v>
                </c:pt>
                <c:pt idx="17">
                  <c:v>24248</c:v>
                </c:pt>
                <c:pt idx="18">
                  <c:v>29088</c:v>
                </c:pt>
                <c:pt idx="19">
                  <c:v>25033</c:v>
                </c:pt>
                <c:pt idx="20">
                  <c:v>9637.0283640241141</c:v>
                </c:pt>
                <c:pt idx="21">
                  <c:v>16565.818657322903</c:v>
                </c:pt>
                <c:pt idx="22">
                  <c:v>10681.174522241208</c:v>
                </c:pt>
                <c:pt idx="23">
                  <c:v>9108</c:v>
                </c:pt>
                <c:pt idx="24">
                  <c:v>15159.918327582192</c:v>
                </c:pt>
                <c:pt idx="25">
                  <c:v>14604.042402507133</c:v>
                </c:pt>
                <c:pt idx="26">
                  <c:v>13164</c:v>
                </c:pt>
                <c:pt idx="27">
                  <c:v>10999.36163173796</c:v>
                </c:pt>
                <c:pt idx="28">
                  <c:v>23092.052468249742</c:v>
                </c:pt>
                <c:pt idx="29">
                  <c:v>15259.749647978782</c:v>
                </c:pt>
              </c:numCache>
            </c:numRef>
          </c:xVal>
          <c:yVal>
            <c:numRef>
              <c:f>'S-R_analysis_SMU'!$R$10:$R$39</c:f>
              <c:numCache>
                <c:formatCode>0.00</c:formatCode>
                <c:ptCount val="30"/>
                <c:pt idx="0">
                  <c:v>0.72709175271554261</c:v>
                </c:pt>
                <c:pt idx="1">
                  <c:v>1.0392687605221689</c:v>
                </c:pt>
                <c:pt idx="2">
                  <c:v>1.1352620510308684</c:v>
                </c:pt>
                <c:pt idx="3">
                  <c:v>0.86948896503081807</c:v>
                </c:pt>
                <c:pt idx="4">
                  <c:v>0.87244329987021818</c:v>
                </c:pt>
                <c:pt idx="5">
                  <c:v>0.29195139735250186</c:v>
                </c:pt>
                <c:pt idx="6">
                  <c:v>-0.18529869824500622</c:v>
                </c:pt>
                <c:pt idx="7">
                  <c:v>-0.49182124920750042</c:v>
                </c:pt>
                <c:pt idx="8">
                  <c:v>1.045558340079485</c:v>
                </c:pt>
                <c:pt idx="9">
                  <c:v>1.531472959597111</c:v>
                </c:pt>
                <c:pt idx="10">
                  <c:v>0.57332366122792244</c:v>
                </c:pt>
                <c:pt idx="11">
                  <c:v>-0.26269039555831059</c:v>
                </c:pt>
                <c:pt idx="12">
                  <c:v>-0.69472282914229366</c:v>
                </c:pt>
                <c:pt idx="13">
                  <c:v>0.23896954734911802</c:v>
                </c:pt>
                <c:pt idx="14">
                  <c:v>0.74857095021846765</c:v>
                </c:pt>
                <c:pt idx="15">
                  <c:v>0.77613654085500872</c:v>
                </c:pt>
                <c:pt idx="16">
                  <c:v>0.63303398056154114</c:v>
                </c:pt>
                <c:pt idx="17">
                  <c:v>-0.33701242591390157</c:v>
                </c:pt>
                <c:pt idx="18">
                  <c:v>-0.3336041698430397</c:v>
                </c:pt>
                <c:pt idx="19">
                  <c:v>-0.92723268470680043</c:v>
                </c:pt>
                <c:pt idx="20">
                  <c:v>0.64805055176873438</c:v>
                </c:pt>
                <c:pt idx="21">
                  <c:v>0.13378558594699899</c:v>
                </c:pt>
                <c:pt idx="22">
                  <c:v>0.97051857430263744</c:v>
                </c:pt>
                <c:pt idx="23">
                  <c:v>0.7173865877716471</c:v>
                </c:pt>
                <c:pt idx="24">
                  <c:v>-9.4054858480310637E-3</c:v>
                </c:pt>
                <c:pt idx="25">
                  <c:v>1.3640291618230247</c:v>
                </c:pt>
                <c:pt idx="26">
                  <c:v>0.4863888528863029</c:v>
                </c:pt>
                <c:pt idx="27">
                  <c:v>1.6684952428764357</c:v>
                </c:pt>
                <c:pt idx="28">
                  <c:v>0.45803138837744317</c:v>
                </c:pt>
                <c:pt idx="29">
                  <c:v>6.9945855305548227E-2</c:v>
                </c:pt>
              </c:numCache>
            </c:numRef>
          </c:yVal>
          <c:smooth val="0"/>
          <c:extLst>
            <c:ext xmlns:c16="http://schemas.microsoft.com/office/drawing/2014/chart" uri="{C3380CC4-5D6E-409C-BE32-E72D297353CC}">
              <c16:uniqueId val="{00000000-F845-4249-BC7F-C5DDEC8A7DA2}"/>
            </c:ext>
          </c:extLst>
        </c:ser>
        <c:dLbls>
          <c:showLegendKey val="0"/>
          <c:showVal val="0"/>
          <c:showCatName val="0"/>
          <c:showSerName val="0"/>
          <c:showPercent val="0"/>
          <c:showBubbleSize val="0"/>
        </c:dLbls>
        <c:axId val="388236032"/>
        <c:axId val="388237952"/>
      </c:scatterChart>
      <c:valAx>
        <c:axId val="388236032"/>
        <c:scaling>
          <c:orientation val="minMax"/>
        </c:scaling>
        <c:delete val="0"/>
        <c:axPos val="b"/>
        <c:numFmt formatCode="_-* #,##0_-;\-* #,##0_-;_-* &quot;-&quot;??_-;_-@_-" sourceLinked="1"/>
        <c:majorTickMark val="out"/>
        <c:minorTickMark val="none"/>
        <c:tickLblPos val="nextTo"/>
        <c:crossAx val="388237952"/>
        <c:crosses val="autoZero"/>
        <c:crossBetween val="midCat"/>
      </c:valAx>
      <c:valAx>
        <c:axId val="388237952"/>
        <c:scaling>
          <c:orientation val="minMax"/>
        </c:scaling>
        <c:delete val="0"/>
        <c:axPos val="l"/>
        <c:numFmt formatCode="0.00" sourceLinked="1"/>
        <c:majorTickMark val="out"/>
        <c:minorTickMark val="none"/>
        <c:tickLblPos val="nextTo"/>
        <c:crossAx val="388236032"/>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61351706036746"/>
          <c:y val="7.4548702245552642E-2"/>
          <c:w val="0.79076837270341205"/>
          <c:h val="0.8326195683872849"/>
        </c:manualLayout>
      </c:layout>
      <c:scatterChart>
        <c:scatterStyle val="lineMarker"/>
        <c:varyColors val="0"/>
        <c:ser>
          <c:idx val="0"/>
          <c:order val="0"/>
          <c:spPr>
            <a:ln w="28575">
              <a:noFill/>
            </a:ln>
          </c:spPr>
          <c:xVal>
            <c:numRef>
              <c:f>'S-R_analysis_SMU'!$B$10:$B$39</c:f>
              <c:numCache>
                <c:formatCode>_-* #,##0_-;\-* #,##0_-;_-* "-"??_-;_-@_-</c:formatCode>
                <c:ptCount val="30"/>
                <c:pt idx="0">
                  <c:v>6580.6793045863396</c:v>
                </c:pt>
                <c:pt idx="1">
                  <c:v>6493.960083355978</c:v>
                </c:pt>
                <c:pt idx="2">
                  <c:v>5062.4478573516726</c:v>
                </c:pt>
                <c:pt idx="3">
                  <c:v>10122.607662435004</c:v>
                </c:pt>
                <c:pt idx="4">
                  <c:v>10185.482380811371</c:v>
                </c:pt>
                <c:pt idx="5">
                  <c:v>10638.301450992005</c:v>
                </c:pt>
                <c:pt idx="6">
                  <c:v>11163.471276280721</c:v>
                </c:pt>
                <c:pt idx="7">
                  <c:v>14308.597867930115</c:v>
                </c:pt>
                <c:pt idx="8">
                  <c:v>12411</c:v>
                </c:pt>
                <c:pt idx="9">
                  <c:v>12248</c:v>
                </c:pt>
                <c:pt idx="10">
                  <c:v>7382</c:v>
                </c:pt>
                <c:pt idx="11">
                  <c:v>11357</c:v>
                </c:pt>
                <c:pt idx="12">
                  <c:v>15251</c:v>
                </c:pt>
                <c:pt idx="13">
                  <c:v>32043</c:v>
                </c:pt>
                <c:pt idx="14">
                  <c:v>22334</c:v>
                </c:pt>
                <c:pt idx="15">
                  <c:v>8876.535736647118</c:v>
                </c:pt>
                <c:pt idx="16">
                  <c:v>9881.6437627308624</c:v>
                </c:pt>
                <c:pt idx="17">
                  <c:v>24248</c:v>
                </c:pt>
                <c:pt idx="18">
                  <c:v>29088</c:v>
                </c:pt>
                <c:pt idx="19">
                  <c:v>25033</c:v>
                </c:pt>
                <c:pt idx="20">
                  <c:v>9637.0283640241141</c:v>
                </c:pt>
                <c:pt idx="21">
                  <c:v>16565.818657322903</c:v>
                </c:pt>
                <c:pt idx="22">
                  <c:v>10681.174522241208</c:v>
                </c:pt>
                <c:pt idx="23">
                  <c:v>9108</c:v>
                </c:pt>
                <c:pt idx="24">
                  <c:v>15159.918327582192</c:v>
                </c:pt>
                <c:pt idx="25">
                  <c:v>14604.042402507133</c:v>
                </c:pt>
                <c:pt idx="26">
                  <c:v>13164</c:v>
                </c:pt>
                <c:pt idx="27">
                  <c:v>10999.36163173796</c:v>
                </c:pt>
                <c:pt idx="28">
                  <c:v>23092.052468249742</c:v>
                </c:pt>
                <c:pt idx="29">
                  <c:v>15259.749647978782</c:v>
                </c:pt>
              </c:numCache>
            </c:numRef>
          </c:xVal>
          <c:yVal>
            <c:numRef>
              <c:f>'S-R_analysis_SMU'!$P$10:$P$39</c:f>
              <c:numCache>
                <c:formatCode>_-* #,##0_-;\-* #,##0_-;_-* "-"??_-;_-@_-</c:formatCode>
                <c:ptCount val="30"/>
                <c:pt idx="0">
                  <c:v>13615.784306188794</c:v>
                </c:pt>
                <c:pt idx="1">
                  <c:v>18359.392336202622</c:v>
                </c:pt>
                <c:pt idx="2">
                  <c:v>15754.281721012991</c:v>
                </c:pt>
                <c:pt idx="3">
                  <c:v>24149.417744552433</c:v>
                </c:pt>
                <c:pt idx="4">
                  <c:v>24371.312181353504</c:v>
                </c:pt>
                <c:pt idx="5">
                  <c:v>14245.089209705162</c:v>
                </c:pt>
                <c:pt idx="6">
                  <c:v>9275.2378892849811</c:v>
                </c:pt>
                <c:pt idx="7">
                  <c:v>8749.8744954183676</c:v>
                </c:pt>
                <c:pt idx="8">
                  <c:v>35309.128075744498</c:v>
                </c:pt>
                <c:pt idx="9">
                  <c:v>56646.806756607446</c:v>
                </c:pt>
                <c:pt idx="10">
                  <c:v>13096.80445655019</c:v>
                </c:pt>
                <c:pt idx="11">
                  <c:v>8733.3051793150935</c:v>
                </c:pt>
                <c:pt idx="12">
                  <c:v>7613.4943525598246</c:v>
                </c:pt>
                <c:pt idx="13">
                  <c:v>40692.68302881749</c:v>
                </c:pt>
                <c:pt idx="14">
                  <c:v>47213.559611635392</c:v>
                </c:pt>
                <c:pt idx="15">
                  <c:v>19289.249152868011</c:v>
                </c:pt>
                <c:pt idx="16">
                  <c:v>18610.256458263844</c:v>
                </c:pt>
                <c:pt idx="17">
                  <c:v>17310.646448022399</c:v>
                </c:pt>
                <c:pt idx="18">
                  <c:v>20836.818626455726</c:v>
                </c:pt>
                <c:pt idx="19">
                  <c:v>9904.2332794345093</c:v>
                </c:pt>
                <c:pt idx="20">
                  <c:v>18424.169305496227</c:v>
                </c:pt>
                <c:pt idx="21">
                  <c:v>18937.177272052839</c:v>
                </c:pt>
                <c:pt idx="22">
                  <c:v>28190.960468114725</c:v>
                </c:pt>
                <c:pt idx="23">
                  <c:v>18662.939938310243</c:v>
                </c:pt>
                <c:pt idx="24">
                  <c:v>15018.000380125683</c:v>
                </c:pt>
                <c:pt idx="25">
                  <c:v>57129.894673038951</c:v>
                </c:pt>
                <c:pt idx="26">
                  <c:v>21410.355009985153</c:v>
                </c:pt>
                <c:pt idx="27">
                  <c:v>58342.597125496919</c:v>
                </c:pt>
                <c:pt idx="28">
                  <c:v>36507.579541924897</c:v>
                </c:pt>
                <c:pt idx="29">
                  <c:v>16365.32022209625</c:v>
                </c:pt>
              </c:numCache>
            </c:numRef>
          </c:yVal>
          <c:smooth val="0"/>
          <c:extLst>
            <c:ext xmlns:c16="http://schemas.microsoft.com/office/drawing/2014/chart" uri="{C3380CC4-5D6E-409C-BE32-E72D297353CC}">
              <c16:uniqueId val="{00000000-4199-4A94-B613-2439C2991FD3}"/>
            </c:ext>
          </c:extLst>
        </c:ser>
        <c:ser>
          <c:idx val="1"/>
          <c:order val="1"/>
          <c:spPr>
            <a:ln w="28575">
              <a:noFill/>
            </a:ln>
          </c:spPr>
          <c:marker>
            <c:symbol val="square"/>
            <c:size val="5"/>
          </c:marker>
          <c:xVal>
            <c:numRef>
              <c:f>'S-R_analysis_SMU'!$AD$31:$AD$70</c:f>
              <c:numCache>
                <c:formatCode>General</c:formatCode>
                <c:ptCount val="40"/>
                <c:pt idx="0">
                  <c:v>1000</c:v>
                </c:pt>
                <c:pt idx="1">
                  <c:v>2000</c:v>
                </c:pt>
                <c:pt idx="2">
                  <c:v>3000</c:v>
                </c:pt>
                <c:pt idx="3">
                  <c:v>4000</c:v>
                </c:pt>
                <c:pt idx="4">
                  <c:v>5000</c:v>
                </c:pt>
                <c:pt idx="5">
                  <c:v>6000</c:v>
                </c:pt>
                <c:pt idx="6">
                  <c:v>7000</c:v>
                </c:pt>
                <c:pt idx="7">
                  <c:v>8000</c:v>
                </c:pt>
                <c:pt idx="8">
                  <c:v>9000</c:v>
                </c:pt>
                <c:pt idx="9">
                  <c:v>10000</c:v>
                </c:pt>
                <c:pt idx="10">
                  <c:v>11000</c:v>
                </c:pt>
                <c:pt idx="11">
                  <c:v>12000</c:v>
                </c:pt>
                <c:pt idx="12">
                  <c:v>13000</c:v>
                </c:pt>
                <c:pt idx="13">
                  <c:v>14000</c:v>
                </c:pt>
                <c:pt idx="14">
                  <c:v>15000</c:v>
                </c:pt>
                <c:pt idx="15">
                  <c:v>16000</c:v>
                </c:pt>
                <c:pt idx="16">
                  <c:v>17000</c:v>
                </c:pt>
                <c:pt idx="17">
                  <c:v>18000</c:v>
                </c:pt>
                <c:pt idx="18">
                  <c:v>19000</c:v>
                </c:pt>
                <c:pt idx="19">
                  <c:v>20000</c:v>
                </c:pt>
                <c:pt idx="20">
                  <c:v>21000</c:v>
                </c:pt>
                <c:pt idx="21">
                  <c:v>22000</c:v>
                </c:pt>
                <c:pt idx="22">
                  <c:v>23000</c:v>
                </c:pt>
                <c:pt idx="23">
                  <c:v>24000</c:v>
                </c:pt>
                <c:pt idx="24">
                  <c:v>25000</c:v>
                </c:pt>
                <c:pt idx="25">
                  <c:v>26000</c:v>
                </c:pt>
                <c:pt idx="26">
                  <c:v>27000</c:v>
                </c:pt>
                <c:pt idx="27">
                  <c:v>28000</c:v>
                </c:pt>
                <c:pt idx="28">
                  <c:v>29000</c:v>
                </c:pt>
                <c:pt idx="29">
                  <c:v>30000</c:v>
                </c:pt>
                <c:pt idx="30">
                  <c:v>31000</c:v>
                </c:pt>
                <c:pt idx="31">
                  <c:v>32000</c:v>
                </c:pt>
                <c:pt idx="32">
                  <c:v>33000</c:v>
                </c:pt>
                <c:pt idx="33">
                  <c:v>34000</c:v>
                </c:pt>
                <c:pt idx="34">
                  <c:v>35000</c:v>
                </c:pt>
                <c:pt idx="35">
                  <c:v>36000</c:v>
                </c:pt>
                <c:pt idx="36">
                  <c:v>37000</c:v>
                </c:pt>
                <c:pt idx="37">
                  <c:v>38000</c:v>
                </c:pt>
                <c:pt idx="38">
                  <c:v>39000</c:v>
                </c:pt>
                <c:pt idx="39">
                  <c:v>40000</c:v>
                </c:pt>
              </c:numCache>
            </c:numRef>
          </c:xVal>
          <c:yVal>
            <c:numRef>
              <c:f>'S-R_analysis_SMU'!$AE$31:$AE$70</c:f>
              <c:numCache>
                <c:formatCode>General</c:formatCode>
                <c:ptCount val="40"/>
                <c:pt idx="0">
                  <c:v>1000</c:v>
                </c:pt>
                <c:pt idx="1">
                  <c:v>2000</c:v>
                </c:pt>
                <c:pt idx="2">
                  <c:v>3000</c:v>
                </c:pt>
                <c:pt idx="3">
                  <c:v>4000</c:v>
                </c:pt>
                <c:pt idx="4">
                  <c:v>5000</c:v>
                </c:pt>
                <c:pt idx="5">
                  <c:v>6000</c:v>
                </c:pt>
                <c:pt idx="6">
                  <c:v>7000</c:v>
                </c:pt>
                <c:pt idx="7">
                  <c:v>8000</c:v>
                </c:pt>
                <c:pt idx="8">
                  <c:v>9000</c:v>
                </c:pt>
                <c:pt idx="9">
                  <c:v>10000</c:v>
                </c:pt>
                <c:pt idx="10">
                  <c:v>11000</c:v>
                </c:pt>
                <c:pt idx="11">
                  <c:v>12000</c:v>
                </c:pt>
                <c:pt idx="12">
                  <c:v>13000</c:v>
                </c:pt>
                <c:pt idx="13">
                  <c:v>14000</c:v>
                </c:pt>
                <c:pt idx="14">
                  <c:v>15000</c:v>
                </c:pt>
                <c:pt idx="15">
                  <c:v>16000</c:v>
                </c:pt>
                <c:pt idx="16">
                  <c:v>17000</c:v>
                </c:pt>
                <c:pt idx="17">
                  <c:v>18000</c:v>
                </c:pt>
                <c:pt idx="18">
                  <c:v>19000</c:v>
                </c:pt>
                <c:pt idx="19">
                  <c:v>20000</c:v>
                </c:pt>
                <c:pt idx="20">
                  <c:v>21000</c:v>
                </c:pt>
                <c:pt idx="21">
                  <c:v>22000</c:v>
                </c:pt>
                <c:pt idx="22">
                  <c:v>23000</c:v>
                </c:pt>
                <c:pt idx="23">
                  <c:v>24000</c:v>
                </c:pt>
                <c:pt idx="24">
                  <c:v>25000</c:v>
                </c:pt>
                <c:pt idx="25">
                  <c:v>26000</c:v>
                </c:pt>
                <c:pt idx="26">
                  <c:v>27000</c:v>
                </c:pt>
                <c:pt idx="27">
                  <c:v>28000</c:v>
                </c:pt>
                <c:pt idx="28">
                  <c:v>29000</c:v>
                </c:pt>
                <c:pt idx="29">
                  <c:v>30000</c:v>
                </c:pt>
                <c:pt idx="30">
                  <c:v>31000</c:v>
                </c:pt>
                <c:pt idx="31">
                  <c:v>32000</c:v>
                </c:pt>
                <c:pt idx="32">
                  <c:v>33000</c:v>
                </c:pt>
                <c:pt idx="33">
                  <c:v>34000</c:v>
                </c:pt>
                <c:pt idx="34">
                  <c:v>35000</c:v>
                </c:pt>
                <c:pt idx="35">
                  <c:v>36000</c:v>
                </c:pt>
                <c:pt idx="36">
                  <c:v>37000</c:v>
                </c:pt>
                <c:pt idx="37">
                  <c:v>38000</c:v>
                </c:pt>
                <c:pt idx="38">
                  <c:v>39000</c:v>
                </c:pt>
                <c:pt idx="39">
                  <c:v>40000</c:v>
                </c:pt>
              </c:numCache>
            </c:numRef>
          </c:yVal>
          <c:smooth val="0"/>
          <c:extLst>
            <c:ext xmlns:c16="http://schemas.microsoft.com/office/drawing/2014/chart" uri="{C3380CC4-5D6E-409C-BE32-E72D297353CC}">
              <c16:uniqueId val="{00000001-4199-4A94-B613-2439C2991FD3}"/>
            </c:ext>
          </c:extLst>
        </c:ser>
        <c:ser>
          <c:idx val="2"/>
          <c:order val="2"/>
          <c:spPr>
            <a:ln w="28575">
              <a:noFill/>
            </a:ln>
          </c:spPr>
          <c:xVal>
            <c:numRef>
              <c:f>'S-R_analysis_SMU'!$B$10:$B$39</c:f>
              <c:numCache>
                <c:formatCode>_-* #,##0_-;\-* #,##0_-;_-* "-"??_-;_-@_-</c:formatCode>
                <c:ptCount val="30"/>
                <c:pt idx="0">
                  <c:v>6580.6793045863396</c:v>
                </c:pt>
                <c:pt idx="1">
                  <c:v>6493.960083355978</c:v>
                </c:pt>
                <c:pt idx="2">
                  <c:v>5062.4478573516726</c:v>
                </c:pt>
                <c:pt idx="3">
                  <c:v>10122.607662435004</c:v>
                </c:pt>
                <c:pt idx="4">
                  <c:v>10185.482380811371</c:v>
                </c:pt>
                <c:pt idx="5">
                  <c:v>10638.301450992005</c:v>
                </c:pt>
                <c:pt idx="6">
                  <c:v>11163.471276280721</c:v>
                </c:pt>
                <c:pt idx="7">
                  <c:v>14308.597867930115</c:v>
                </c:pt>
                <c:pt idx="8">
                  <c:v>12411</c:v>
                </c:pt>
                <c:pt idx="9">
                  <c:v>12248</c:v>
                </c:pt>
                <c:pt idx="10">
                  <c:v>7382</c:v>
                </c:pt>
                <c:pt idx="11">
                  <c:v>11357</c:v>
                </c:pt>
                <c:pt idx="12">
                  <c:v>15251</c:v>
                </c:pt>
                <c:pt idx="13">
                  <c:v>32043</c:v>
                </c:pt>
                <c:pt idx="14">
                  <c:v>22334</c:v>
                </c:pt>
                <c:pt idx="15">
                  <c:v>8876.535736647118</c:v>
                </c:pt>
                <c:pt idx="16">
                  <c:v>9881.6437627308624</c:v>
                </c:pt>
                <c:pt idx="17">
                  <c:v>24248</c:v>
                </c:pt>
                <c:pt idx="18">
                  <c:v>29088</c:v>
                </c:pt>
                <c:pt idx="19">
                  <c:v>25033</c:v>
                </c:pt>
                <c:pt idx="20">
                  <c:v>9637.0283640241141</c:v>
                </c:pt>
                <c:pt idx="21">
                  <c:v>16565.818657322903</c:v>
                </c:pt>
                <c:pt idx="22">
                  <c:v>10681.174522241208</c:v>
                </c:pt>
                <c:pt idx="23">
                  <c:v>9108</c:v>
                </c:pt>
                <c:pt idx="24">
                  <c:v>15159.918327582192</c:v>
                </c:pt>
                <c:pt idx="25">
                  <c:v>14604.042402507133</c:v>
                </c:pt>
                <c:pt idx="26">
                  <c:v>13164</c:v>
                </c:pt>
                <c:pt idx="27">
                  <c:v>10999.36163173796</c:v>
                </c:pt>
                <c:pt idx="28">
                  <c:v>23092.052468249742</c:v>
                </c:pt>
                <c:pt idx="29">
                  <c:v>15259.749647978782</c:v>
                </c:pt>
              </c:numCache>
            </c:numRef>
          </c:xVal>
          <c:yVal>
            <c:numRef>
              <c:f>'S-R_analysis_SMU'!$S$10:$S$39</c:f>
              <c:numCache>
                <c:formatCode>_-* #,##0.00_-;\-* #,##0.00_-;_-* "-"??_-;_-@_-</c:formatCode>
                <c:ptCount val="30"/>
                <c:pt idx="0">
                  <c:v>14933.259673546288</c:v>
                </c:pt>
                <c:pt idx="1">
                  <c:v>14797.936230337937</c:v>
                </c:pt>
                <c:pt idx="2">
                  <c:v>12356.393003919409</c:v>
                </c:pt>
                <c:pt idx="3">
                  <c:v>19379.628135418829</c:v>
                </c:pt>
                <c:pt idx="4">
                  <c:v>19441.242817088783</c:v>
                </c:pt>
                <c:pt idx="5">
                  <c:v>19868.989655177935</c:v>
                </c:pt>
                <c:pt idx="6">
                  <c:v>20330.856756660287</c:v>
                </c:pt>
                <c:pt idx="7">
                  <c:v>22407.525801716081</c:v>
                </c:pt>
                <c:pt idx="8">
                  <c:v>21289.167868058026</c:v>
                </c:pt>
                <c:pt idx="9">
                  <c:v>21174.579473861235</c:v>
                </c:pt>
                <c:pt idx="10">
                  <c:v>16119.610594131953</c:v>
                </c:pt>
                <c:pt idx="11">
                  <c:v>20492.076844900716</c:v>
                </c:pt>
                <c:pt idx="12">
                  <c:v>22827.110760435629</c:v>
                </c:pt>
                <c:pt idx="13">
                  <c:v>21421.979279652856</c:v>
                </c:pt>
                <c:pt idx="14">
                  <c:v>23794.428822016707</c:v>
                </c:pt>
                <c:pt idx="15">
                  <c:v>18041.418648981737</c:v>
                </c:pt>
                <c:pt idx="16">
                  <c:v>19138.37575205891</c:v>
                </c:pt>
                <c:pt idx="17">
                  <c:v>23566.099783187412</c:v>
                </c:pt>
                <c:pt idx="18">
                  <c:v>22409.735295868482</c:v>
                </c:pt>
                <c:pt idx="19">
                  <c:v>23429.418256018489</c:v>
                </c:pt>
                <c:pt idx="20">
                  <c:v>18885.043285687483</c:v>
                </c:pt>
                <c:pt idx="21">
                  <c:v>23278.681110539666</c:v>
                </c:pt>
                <c:pt idx="22">
                  <c:v>19908.054496379427</c:v>
                </c:pt>
                <c:pt idx="23">
                  <c:v>18307.345166177576</c:v>
                </c:pt>
                <c:pt idx="24">
                  <c:v>22790.196386086114</c:v>
                </c:pt>
                <c:pt idx="25">
                  <c:v>22548.176425368885</c:v>
                </c:pt>
                <c:pt idx="26">
                  <c:v>21779.285889963627</c:v>
                </c:pt>
                <c:pt idx="27">
                  <c:v>20190.391392628484</c:v>
                </c:pt>
                <c:pt idx="28">
                  <c:v>23723.012708018105</c:v>
                </c:pt>
                <c:pt idx="29">
                  <c:v>22830.617015804251</c:v>
                </c:pt>
              </c:numCache>
            </c:numRef>
          </c:yVal>
          <c:smooth val="0"/>
          <c:extLst>
            <c:ext xmlns:c16="http://schemas.microsoft.com/office/drawing/2014/chart" uri="{C3380CC4-5D6E-409C-BE32-E72D297353CC}">
              <c16:uniqueId val="{00000002-4199-4A94-B613-2439C2991FD3}"/>
            </c:ext>
          </c:extLst>
        </c:ser>
        <c:dLbls>
          <c:showLegendKey val="0"/>
          <c:showVal val="0"/>
          <c:showCatName val="0"/>
          <c:showSerName val="0"/>
          <c:showPercent val="0"/>
          <c:showBubbleSize val="0"/>
        </c:dLbls>
        <c:axId val="390756224"/>
        <c:axId val="391316224"/>
      </c:scatterChart>
      <c:valAx>
        <c:axId val="390756224"/>
        <c:scaling>
          <c:orientation val="minMax"/>
          <c:max val="40000"/>
        </c:scaling>
        <c:delete val="0"/>
        <c:axPos val="b"/>
        <c:numFmt formatCode="_-* #,##0_-;\-* #,##0_-;_-* &quot;-&quot;??_-;_-@_-" sourceLinked="1"/>
        <c:majorTickMark val="out"/>
        <c:minorTickMark val="none"/>
        <c:tickLblPos val="nextTo"/>
        <c:crossAx val="391316224"/>
        <c:crosses val="autoZero"/>
        <c:crossBetween val="midCat"/>
      </c:valAx>
      <c:valAx>
        <c:axId val="391316224"/>
        <c:scaling>
          <c:orientation val="minMax"/>
        </c:scaling>
        <c:delete val="0"/>
        <c:axPos val="l"/>
        <c:numFmt formatCode="_-* #,##0_-;\-* #,##0_-;_-* &quot;-&quot;??_-;_-@_-" sourceLinked="1"/>
        <c:majorTickMark val="out"/>
        <c:minorTickMark val="none"/>
        <c:tickLblPos val="nextTo"/>
        <c:crossAx val="390756224"/>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1.1896325459317585E-3"/>
                  <c:y val="-0.56784157188684747"/>
                </c:manualLayout>
              </c:layout>
              <c:numFmt formatCode="General" sourceLinked="0"/>
            </c:trendlineLbl>
          </c:trendline>
          <c:xVal>
            <c:numRef>
              <c:f>'S-R_analysis_SMU'!$B$10:$B$39</c:f>
              <c:numCache>
                <c:formatCode>_-* #,##0_-;\-* #,##0_-;_-* "-"??_-;_-@_-</c:formatCode>
                <c:ptCount val="30"/>
                <c:pt idx="0">
                  <c:v>6580.6793045863396</c:v>
                </c:pt>
                <c:pt idx="1">
                  <c:v>6493.960083355978</c:v>
                </c:pt>
                <c:pt idx="2">
                  <c:v>5062.4478573516726</c:v>
                </c:pt>
                <c:pt idx="3">
                  <c:v>10122.607662435004</c:v>
                </c:pt>
                <c:pt idx="4">
                  <c:v>10185.482380811371</c:v>
                </c:pt>
                <c:pt idx="5">
                  <c:v>10638.301450992005</c:v>
                </c:pt>
                <c:pt idx="6">
                  <c:v>11163.471276280721</c:v>
                </c:pt>
                <c:pt idx="7">
                  <c:v>14308.597867930115</c:v>
                </c:pt>
                <c:pt idx="8">
                  <c:v>12411</c:v>
                </c:pt>
                <c:pt idx="9">
                  <c:v>12248</c:v>
                </c:pt>
                <c:pt idx="10">
                  <c:v>7382</c:v>
                </c:pt>
                <c:pt idx="11">
                  <c:v>11357</c:v>
                </c:pt>
                <c:pt idx="12">
                  <c:v>15251</c:v>
                </c:pt>
                <c:pt idx="13">
                  <c:v>32043</c:v>
                </c:pt>
                <c:pt idx="14">
                  <c:v>22334</c:v>
                </c:pt>
                <c:pt idx="15">
                  <c:v>8876.535736647118</c:v>
                </c:pt>
                <c:pt idx="16">
                  <c:v>9881.6437627308624</c:v>
                </c:pt>
                <c:pt idx="17">
                  <c:v>24248</c:v>
                </c:pt>
                <c:pt idx="18">
                  <c:v>29088</c:v>
                </c:pt>
                <c:pt idx="19">
                  <c:v>25033</c:v>
                </c:pt>
                <c:pt idx="20">
                  <c:v>9637.0283640241141</c:v>
                </c:pt>
                <c:pt idx="21">
                  <c:v>16565.818657322903</c:v>
                </c:pt>
                <c:pt idx="22">
                  <c:v>10681.174522241208</c:v>
                </c:pt>
                <c:pt idx="23">
                  <c:v>9108</c:v>
                </c:pt>
                <c:pt idx="24">
                  <c:v>15159.918327582192</c:v>
                </c:pt>
                <c:pt idx="25">
                  <c:v>14604.042402507133</c:v>
                </c:pt>
                <c:pt idx="26">
                  <c:v>13164</c:v>
                </c:pt>
                <c:pt idx="27">
                  <c:v>10999.36163173796</c:v>
                </c:pt>
                <c:pt idx="28">
                  <c:v>23092.052468249742</c:v>
                </c:pt>
                <c:pt idx="29">
                  <c:v>15259.749647978782</c:v>
                </c:pt>
              </c:numCache>
            </c:numRef>
          </c:xVal>
          <c:yVal>
            <c:numRef>
              <c:f>'S-R_analysis_SMU'!$R$10:$R$39</c:f>
              <c:numCache>
                <c:formatCode>0.00</c:formatCode>
                <c:ptCount val="30"/>
                <c:pt idx="0">
                  <c:v>0.72709175271554261</c:v>
                </c:pt>
                <c:pt idx="1">
                  <c:v>1.0392687605221689</c:v>
                </c:pt>
                <c:pt idx="2">
                  <c:v>1.1352620510308684</c:v>
                </c:pt>
                <c:pt idx="3">
                  <c:v>0.86948896503081807</c:v>
                </c:pt>
                <c:pt idx="4">
                  <c:v>0.87244329987021818</c:v>
                </c:pt>
                <c:pt idx="5">
                  <c:v>0.29195139735250186</c:v>
                </c:pt>
                <c:pt idx="6">
                  <c:v>-0.18529869824500622</c:v>
                </c:pt>
                <c:pt idx="7">
                  <c:v>-0.49182124920750042</c:v>
                </c:pt>
                <c:pt idx="8">
                  <c:v>1.045558340079485</c:v>
                </c:pt>
                <c:pt idx="9">
                  <c:v>1.531472959597111</c:v>
                </c:pt>
                <c:pt idx="10">
                  <c:v>0.57332366122792244</c:v>
                </c:pt>
                <c:pt idx="11">
                  <c:v>-0.26269039555831059</c:v>
                </c:pt>
                <c:pt idx="12">
                  <c:v>-0.69472282914229366</c:v>
                </c:pt>
                <c:pt idx="13">
                  <c:v>0.23896954734911802</c:v>
                </c:pt>
                <c:pt idx="14">
                  <c:v>0.74857095021846765</c:v>
                </c:pt>
                <c:pt idx="15">
                  <c:v>0.77613654085500872</c:v>
                </c:pt>
                <c:pt idx="16">
                  <c:v>0.63303398056154114</c:v>
                </c:pt>
                <c:pt idx="17">
                  <c:v>-0.33701242591390157</c:v>
                </c:pt>
                <c:pt idx="18">
                  <c:v>-0.3336041698430397</c:v>
                </c:pt>
                <c:pt idx="19">
                  <c:v>-0.92723268470680043</c:v>
                </c:pt>
                <c:pt idx="20">
                  <c:v>0.64805055176873438</c:v>
                </c:pt>
                <c:pt idx="21">
                  <c:v>0.13378558594699899</c:v>
                </c:pt>
                <c:pt idx="22">
                  <c:v>0.97051857430263744</c:v>
                </c:pt>
                <c:pt idx="23">
                  <c:v>0.7173865877716471</c:v>
                </c:pt>
                <c:pt idx="24">
                  <c:v>-9.4054858480310637E-3</c:v>
                </c:pt>
                <c:pt idx="25">
                  <c:v>1.3640291618230247</c:v>
                </c:pt>
                <c:pt idx="26">
                  <c:v>0.4863888528863029</c:v>
                </c:pt>
                <c:pt idx="27">
                  <c:v>1.6684952428764357</c:v>
                </c:pt>
                <c:pt idx="28">
                  <c:v>0.45803138837744317</c:v>
                </c:pt>
                <c:pt idx="29">
                  <c:v>6.9945855305548227E-2</c:v>
                </c:pt>
              </c:numCache>
            </c:numRef>
          </c:yVal>
          <c:smooth val="0"/>
          <c:extLst>
            <c:ext xmlns:c16="http://schemas.microsoft.com/office/drawing/2014/chart" uri="{C3380CC4-5D6E-409C-BE32-E72D297353CC}">
              <c16:uniqueId val="{00000000-CB46-40FB-A02F-7D46688BFCB8}"/>
            </c:ext>
          </c:extLst>
        </c:ser>
        <c:dLbls>
          <c:showLegendKey val="0"/>
          <c:showVal val="0"/>
          <c:showCatName val="0"/>
          <c:showSerName val="0"/>
          <c:showPercent val="0"/>
          <c:showBubbleSize val="0"/>
        </c:dLbls>
        <c:axId val="388236032"/>
        <c:axId val="388237952"/>
      </c:scatterChart>
      <c:valAx>
        <c:axId val="388236032"/>
        <c:scaling>
          <c:orientation val="minMax"/>
        </c:scaling>
        <c:delete val="0"/>
        <c:axPos val="b"/>
        <c:numFmt formatCode="_-* #,##0_-;\-* #,##0_-;_-* &quot;-&quot;??_-;_-@_-" sourceLinked="1"/>
        <c:majorTickMark val="out"/>
        <c:minorTickMark val="none"/>
        <c:tickLblPos val="nextTo"/>
        <c:crossAx val="388237952"/>
        <c:crosses val="autoZero"/>
        <c:crossBetween val="midCat"/>
      </c:valAx>
      <c:valAx>
        <c:axId val="388237952"/>
        <c:scaling>
          <c:orientation val="minMax"/>
        </c:scaling>
        <c:delete val="0"/>
        <c:axPos val="l"/>
        <c:numFmt formatCode="0.00" sourceLinked="1"/>
        <c:majorTickMark val="out"/>
        <c:minorTickMark val="none"/>
        <c:tickLblPos val="nextTo"/>
        <c:crossAx val="388236032"/>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61351706036746"/>
          <c:y val="7.4548702245552642E-2"/>
          <c:w val="0.79076837270341205"/>
          <c:h val="0.8326195683872849"/>
        </c:manualLayout>
      </c:layout>
      <c:scatterChart>
        <c:scatterStyle val="lineMarker"/>
        <c:varyColors val="0"/>
        <c:ser>
          <c:idx val="0"/>
          <c:order val="0"/>
          <c:spPr>
            <a:ln w="28575">
              <a:noFill/>
            </a:ln>
          </c:spPr>
          <c:xVal>
            <c:numRef>
              <c:f>'S-R_analysis_SMU'!$B$10:$B$39</c:f>
              <c:numCache>
                <c:formatCode>_-* #,##0_-;\-* #,##0_-;_-* "-"??_-;_-@_-</c:formatCode>
                <c:ptCount val="30"/>
                <c:pt idx="0">
                  <c:v>6580.6793045863396</c:v>
                </c:pt>
                <c:pt idx="1">
                  <c:v>6493.960083355978</c:v>
                </c:pt>
                <c:pt idx="2">
                  <c:v>5062.4478573516726</c:v>
                </c:pt>
                <c:pt idx="3">
                  <c:v>10122.607662435004</c:v>
                </c:pt>
                <c:pt idx="4">
                  <c:v>10185.482380811371</c:v>
                </c:pt>
                <c:pt idx="5">
                  <c:v>10638.301450992005</c:v>
                </c:pt>
                <c:pt idx="6">
                  <c:v>11163.471276280721</c:v>
                </c:pt>
                <c:pt idx="7">
                  <c:v>14308.597867930115</c:v>
                </c:pt>
                <c:pt idx="8">
                  <c:v>12411</c:v>
                </c:pt>
                <c:pt idx="9">
                  <c:v>12248</c:v>
                </c:pt>
                <c:pt idx="10">
                  <c:v>7382</c:v>
                </c:pt>
                <c:pt idx="11">
                  <c:v>11357</c:v>
                </c:pt>
                <c:pt idx="12">
                  <c:v>15251</c:v>
                </c:pt>
                <c:pt idx="13">
                  <c:v>32043</c:v>
                </c:pt>
                <c:pt idx="14">
                  <c:v>22334</c:v>
                </c:pt>
                <c:pt idx="15">
                  <c:v>8876.535736647118</c:v>
                </c:pt>
                <c:pt idx="16">
                  <c:v>9881.6437627308624</c:v>
                </c:pt>
                <c:pt idx="17">
                  <c:v>24248</c:v>
                </c:pt>
                <c:pt idx="18">
                  <c:v>29088</c:v>
                </c:pt>
                <c:pt idx="19">
                  <c:v>25033</c:v>
                </c:pt>
                <c:pt idx="20">
                  <c:v>9637.0283640241141</c:v>
                </c:pt>
                <c:pt idx="21">
                  <c:v>16565.818657322903</c:v>
                </c:pt>
                <c:pt idx="22">
                  <c:v>10681.174522241208</c:v>
                </c:pt>
                <c:pt idx="23">
                  <c:v>9108</c:v>
                </c:pt>
                <c:pt idx="24">
                  <c:v>15159.918327582192</c:v>
                </c:pt>
                <c:pt idx="25">
                  <c:v>14604.042402507133</c:v>
                </c:pt>
                <c:pt idx="26">
                  <c:v>13164</c:v>
                </c:pt>
                <c:pt idx="27">
                  <c:v>10999.36163173796</c:v>
                </c:pt>
                <c:pt idx="28">
                  <c:v>23092.052468249742</c:v>
                </c:pt>
                <c:pt idx="29">
                  <c:v>15259.749647978782</c:v>
                </c:pt>
              </c:numCache>
            </c:numRef>
          </c:xVal>
          <c:yVal>
            <c:numRef>
              <c:f>'S-R_analysis_SMU'!$P$10:$P$39</c:f>
              <c:numCache>
                <c:formatCode>_-* #,##0_-;\-* #,##0_-;_-* "-"??_-;_-@_-</c:formatCode>
                <c:ptCount val="30"/>
                <c:pt idx="0">
                  <c:v>13615.784306188794</c:v>
                </c:pt>
                <c:pt idx="1">
                  <c:v>18359.392336202622</c:v>
                </c:pt>
                <c:pt idx="2">
                  <c:v>15754.281721012991</c:v>
                </c:pt>
                <c:pt idx="3">
                  <c:v>24149.417744552433</c:v>
                </c:pt>
                <c:pt idx="4">
                  <c:v>24371.312181353504</c:v>
                </c:pt>
                <c:pt idx="5">
                  <c:v>14245.089209705162</c:v>
                </c:pt>
                <c:pt idx="6">
                  <c:v>9275.2378892849811</c:v>
                </c:pt>
                <c:pt idx="7">
                  <c:v>8749.8744954183676</c:v>
                </c:pt>
                <c:pt idx="8">
                  <c:v>35309.128075744498</c:v>
                </c:pt>
                <c:pt idx="9">
                  <c:v>56646.806756607446</c:v>
                </c:pt>
                <c:pt idx="10">
                  <c:v>13096.80445655019</c:v>
                </c:pt>
                <c:pt idx="11">
                  <c:v>8733.3051793150935</c:v>
                </c:pt>
                <c:pt idx="12">
                  <c:v>7613.4943525598246</c:v>
                </c:pt>
                <c:pt idx="13">
                  <c:v>40692.68302881749</c:v>
                </c:pt>
                <c:pt idx="14">
                  <c:v>47213.559611635392</c:v>
                </c:pt>
                <c:pt idx="15">
                  <c:v>19289.249152868011</c:v>
                </c:pt>
                <c:pt idx="16">
                  <c:v>18610.256458263844</c:v>
                </c:pt>
                <c:pt idx="17">
                  <c:v>17310.646448022399</c:v>
                </c:pt>
                <c:pt idx="18">
                  <c:v>20836.818626455726</c:v>
                </c:pt>
                <c:pt idx="19">
                  <c:v>9904.2332794345093</c:v>
                </c:pt>
                <c:pt idx="20">
                  <c:v>18424.169305496227</c:v>
                </c:pt>
                <c:pt idx="21">
                  <c:v>18937.177272052839</c:v>
                </c:pt>
                <c:pt idx="22">
                  <c:v>28190.960468114725</c:v>
                </c:pt>
                <c:pt idx="23">
                  <c:v>18662.939938310243</c:v>
                </c:pt>
                <c:pt idx="24">
                  <c:v>15018.000380125683</c:v>
                </c:pt>
                <c:pt idx="25">
                  <c:v>57129.894673038951</c:v>
                </c:pt>
                <c:pt idx="26">
                  <c:v>21410.355009985153</c:v>
                </c:pt>
                <c:pt idx="27">
                  <c:v>58342.597125496919</c:v>
                </c:pt>
                <c:pt idx="28">
                  <c:v>36507.579541924897</c:v>
                </c:pt>
                <c:pt idx="29">
                  <c:v>16365.32022209625</c:v>
                </c:pt>
              </c:numCache>
            </c:numRef>
          </c:yVal>
          <c:smooth val="0"/>
          <c:extLst>
            <c:ext xmlns:c16="http://schemas.microsoft.com/office/drawing/2014/chart" uri="{C3380CC4-5D6E-409C-BE32-E72D297353CC}">
              <c16:uniqueId val="{00000000-ABD5-4474-AF02-1F2800225046}"/>
            </c:ext>
          </c:extLst>
        </c:ser>
        <c:ser>
          <c:idx val="1"/>
          <c:order val="1"/>
          <c:spPr>
            <a:ln w="28575">
              <a:noFill/>
            </a:ln>
          </c:spPr>
          <c:marker>
            <c:symbol val="square"/>
            <c:size val="5"/>
          </c:marker>
          <c:xVal>
            <c:numRef>
              <c:f>'S-R_analysis_SMU'!$AD$31:$AD$70</c:f>
              <c:numCache>
                <c:formatCode>General</c:formatCode>
                <c:ptCount val="40"/>
                <c:pt idx="0">
                  <c:v>1000</c:v>
                </c:pt>
                <c:pt idx="1">
                  <c:v>2000</c:v>
                </c:pt>
                <c:pt idx="2">
                  <c:v>3000</c:v>
                </c:pt>
                <c:pt idx="3">
                  <c:v>4000</c:v>
                </c:pt>
                <c:pt idx="4">
                  <c:v>5000</c:v>
                </c:pt>
                <c:pt idx="5">
                  <c:v>6000</c:v>
                </c:pt>
                <c:pt idx="6">
                  <c:v>7000</c:v>
                </c:pt>
                <c:pt idx="7">
                  <c:v>8000</c:v>
                </c:pt>
                <c:pt idx="8">
                  <c:v>9000</c:v>
                </c:pt>
                <c:pt idx="9">
                  <c:v>10000</c:v>
                </c:pt>
                <c:pt idx="10">
                  <c:v>11000</c:v>
                </c:pt>
                <c:pt idx="11">
                  <c:v>12000</c:v>
                </c:pt>
                <c:pt idx="12">
                  <c:v>13000</c:v>
                </c:pt>
                <c:pt idx="13">
                  <c:v>14000</c:v>
                </c:pt>
                <c:pt idx="14">
                  <c:v>15000</c:v>
                </c:pt>
                <c:pt idx="15">
                  <c:v>16000</c:v>
                </c:pt>
                <c:pt idx="16">
                  <c:v>17000</c:v>
                </c:pt>
                <c:pt idx="17">
                  <c:v>18000</c:v>
                </c:pt>
                <c:pt idx="18">
                  <c:v>19000</c:v>
                </c:pt>
                <c:pt idx="19">
                  <c:v>20000</c:v>
                </c:pt>
                <c:pt idx="20">
                  <c:v>21000</c:v>
                </c:pt>
                <c:pt idx="21">
                  <c:v>22000</c:v>
                </c:pt>
                <c:pt idx="22">
                  <c:v>23000</c:v>
                </c:pt>
                <c:pt idx="23">
                  <c:v>24000</c:v>
                </c:pt>
                <c:pt idx="24">
                  <c:v>25000</c:v>
                </c:pt>
                <c:pt idx="25">
                  <c:v>26000</c:v>
                </c:pt>
                <c:pt idx="26">
                  <c:v>27000</c:v>
                </c:pt>
                <c:pt idx="27">
                  <c:v>28000</c:v>
                </c:pt>
                <c:pt idx="28">
                  <c:v>29000</c:v>
                </c:pt>
                <c:pt idx="29">
                  <c:v>30000</c:v>
                </c:pt>
                <c:pt idx="30">
                  <c:v>31000</c:v>
                </c:pt>
                <c:pt idx="31">
                  <c:v>32000</c:v>
                </c:pt>
                <c:pt idx="32">
                  <c:v>33000</c:v>
                </c:pt>
                <c:pt idx="33">
                  <c:v>34000</c:v>
                </c:pt>
                <c:pt idx="34">
                  <c:v>35000</c:v>
                </c:pt>
                <c:pt idx="35">
                  <c:v>36000</c:v>
                </c:pt>
                <c:pt idx="36">
                  <c:v>37000</c:v>
                </c:pt>
                <c:pt idx="37">
                  <c:v>38000</c:v>
                </c:pt>
                <c:pt idx="38">
                  <c:v>39000</c:v>
                </c:pt>
                <c:pt idx="39">
                  <c:v>40000</c:v>
                </c:pt>
              </c:numCache>
            </c:numRef>
          </c:xVal>
          <c:yVal>
            <c:numRef>
              <c:f>'S-R_analysis_SMU'!$AE$31:$AE$70</c:f>
              <c:numCache>
                <c:formatCode>General</c:formatCode>
                <c:ptCount val="40"/>
                <c:pt idx="0">
                  <c:v>1000</c:v>
                </c:pt>
                <c:pt idx="1">
                  <c:v>2000</c:v>
                </c:pt>
                <c:pt idx="2">
                  <c:v>3000</c:v>
                </c:pt>
                <c:pt idx="3">
                  <c:v>4000</c:v>
                </c:pt>
                <c:pt idx="4">
                  <c:v>5000</c:v>
                </c:pt>
                <c:pt idx="5">
                  <c:v>6000</c:v>
                </c:pt>
                <c:pt idx="6">
                  <c:v>7000</c:v>
                </c:pt>
                <c:pt idx="7">
                  <c:v>8000</c:v>
                </c:pt>
                <c:pt idx="8">
                  <c:v>9000</c:v>
                </c:pt>
                <c:pt idx="9">
                  <c:v>10000</c:v>
                </c:pt>
                <c:pt idx="10">
                  <c:v>11000</c:v>
                </c:pt>
                <c:pt idx="11">
                  <c:v>12000</c:v>
                </c:pt>
                <c:pt idx="12">
                  <c:v>13000</c:v>
                </c:pt>
                <c:pt idx="13">
                  <c:v>14000</c:v>
                </c:pt>
                <c:pt idx="14">
                  <c:v>15000</c:v>
                </c:pt>
                <c:pt idx="15">
                  <c:v>16000</c:v>
                </c:pt>
                <c:pt idx="16">
                  <c:v>17000</c:v>
                </c:pt>
                <c:pt idx="17">
                  <c:v>18000</c:v>
                </c:pt>
                <c:pt idx="18">
                  <c:v>19000</c:v>
                </c:pt>
                <c:pt idx="19">
                  <c:v>20000</c:v>
                </c:pt>
                <c:pt idx="20">
                  <c:v>21000</c:v>
                </c:pt>
                <c:pt idx="21">
                  <c:v>22000</c:v>
                </c:pt>
                <c:pt idx="22">
                  <c:v>23000</c:v>
                </c:pt>
                <c:pt idx="23">
                  <c:v>24000</c:v>
                </c:pt>
                <c:pt idx="24">
                  <c:v>25000</c:v>
                </c:pt>
                <c:pt idx="25">
                  <c:v>26000</c:v>
                </c:pt>
                <c:pt idx="26">
                  <c:v>27000</c:v>
                </c:pt>
                <c:pt idx="27">
                  <c:v>28000</c:v>
                </c:pt>
                <c:pt idx="28">
                  <c:v>29000</c:v>
                </c:pt>
                <c:pt idx="29">
                  <c:v>30000</c:v>
                </c:pt>
                <c:pt idx="30">
                  <c:v>31000</c:v>
                </c:pt>
                <c:pt idx="31">
                  <c:v>32000</c:v>
                </c:pt>
                <c:pt idx="32">
                  <c:v>33000</c:v>
                </c:pt>
                <c:pt idx="33">
                  <c:v>34000</c:v>
                </c:pt>
                <c:pt idx="34">
                  <c:v>35000</c:v>
                </c:pt>
                <c:pt idx="35">
                  <c:v>36000</c:v>
                </c:pt>
                <c:pt idx="36">
                  <c:v>37000</c:v>
                </c:pt>
                <c:pt idx="37">
                  <c:v>38000</c:v>
                </c:pt>
                <c:pt idx="38">
                  <c:v>39000</c:v>
                </c:pt>
                <c:pt idx="39">
                  <c:v>40000</c:v>
                </c:pt>
              </c:numCache>
            </c:numRef>
          </c:yVal>
          <c:smooth val="0"/>
          <c:extLst>
            <c:ext xmlns:c16="http://schemas.microsoft.com/office/drawing/2014/chart" uri="{C3380CC4-5D6E-409C-BE32-E72D297353CC}">
              <c16:uniqueId val="{00000001-ABD5-4474-AF02-1F2800225046}"/>
            </c:ext>
          </c:extLst>
        </c:ser>
        <c:ser>
          <c:idx val="2"/>
          <c:order val="2"/>
          <c:spPr>
            <a:ln w="28575">
              <a:noFill/>
            </a:ln>
          </c:spPr>
          <c:xVal>
            <c:numRef>
              <c:f>'S-R_analysis_SMU'!$B$10:$B$39</c:f>
              <c:numCache>
                <c:formatCode>_-* #,##0_-;\-* #,##0_-;_-* "-"??_-;_-@_-</c:formatCode>
                <c:ptCount val="30"/>
                <c:pt idx="0">
                  <c:v>6580.6793045863396</c:v>
                </c:pt>
                <c:pt idx="1">
                  <c:v>6493.960083355978</c:v>
                </c:pt>
                <c:pt idx="2">
                  <c:v>5062.4478573516726</c:v>
                </c:pt>
                <c:pt idx="3">
                  <c:v>10122.607662435004</c:v>
                </c:pt>
                <c:pt idx="4">
                  <c:v>10185.482380811371</c:v>
                </c:pt>
                <c:pt idx="5">
                  <c:v>10638.301450992005</c:v>
                </c:pt>
                <c:pt idx="6">
                  <c:v>11163.471276280721</c:v>
                </c:pt>
                <c:pt idx="7">
                  <c:v>14308.597867930115</c:v>
                </c:pt>
                <c:pt idx="8">
                  <c:v>12411</c:v>
                </c:pt>
                <c:pt idx="9">
                  <c:v>12248</c:v>
                </c:pt>
                <c:pt idx="10">
                  <c:v>7382</c:v>
                </c:pt>
                <c:pt idx="11">
                  <c:v>11357</c:v>
                </c:pt>
                <c:pt idx="12">
                  <c:v>15251</c:v>
                </c:pt>
                <c:pt idx="13">
                  <c:v>32043</c:v>
                </c:pt>
                <c:pt idx="14">
                  <c:v>22334</c:v>
                </c:pt>
                <c:pt idx="15">
                  <c:v>8876.535736647118</c:v>
                </c:pt>
                <c:pt idx="16">
                  <c:v>9881.6437627308624</c:v>
                </c:pt>
                <c:pt idx="17">
                  <c:v>24248</c:v>
                </c:pt>
                <c:pt idx="18">
                  <c:v>29088</c:v>
                </c:pt>
                <c:pt idx="19">
                  <c:v>25033</c:v>
                </c:pt>
                <c:pt idx="20">
                  <c:v>9637.0283640241141</c:v>
                </c:pt>
                <c:pt idx="21">
                  <c:v>16565.818657322903</c:v>
                </c:pt>
                <c:pt idx="22">
                  <c:v>10681.174522241208</c:v>
                </c:pt>
                <c:pt idx="23">
                  <c:v>9108</c:v>
                </c:pt>
                <c:pt idx="24">
                  <c:v>15159.918327582192</c:v>
                </c:pt>
                <c:pt idx="25">
                  <c:v>14604.042402507133</c:v>
                </c:pt>
                <c:pt idx="26">
                  <c:v>13164</c:v>
                </c:pt>
                <c:pt idx="27">
                  <c:v>10999.36163173796</c:v>
                </c:pt>
                <c:pt idx="28">
                  <c:v>23092.052468249742</c:v>
                </c:pt>
                <c:pt idx="29">
                  <c:v>15259.749647978782</c:v>
                </c:pt>
              </c:numCache>
            </c:numRef>
          </c:xVal>
          <c:yVal>
            <c:numRef>
              <c:f>'S-R_analysis_SMU'!$S$10:$S$39</c:f>
              <c:numCache>
                <c:formatCode>_-* #,##0.00_-;\-* #,##0.00_-;_-* "-"??_-;_-@_-</c:formatCode>
                <c:ptCount val="30"/>
                <c:pt idx="0">
                  <c:v>14933.259673546288</c:v>
                </c:pt>
                <c:pt idx="1">
                  <c:v>14797.936230337937</c:v>
                </c:pt>
                <c:pt idx="2">
                  <c:v>12356.393003919409</c:v>
                </c:pt>
                <c:pt idx="3">
                  <c:v>19379.628135418829</c:v>
                </c:pt>
                <c:pt idx="4">
                  <c:v>19441.242817088783</c:v>
                </c:pt>
                <c:pt idx="5">
                  <c:v>19868.989655177935</c:v>
                </c:pt>
                <c:pt idx="6">
                  <c:v>20330.856756660287</c:v>
                </c:pt>
                <c:pt idx="7">
                  <c:v>22407.525801716081</c:v>
                </c:pt>
                <c:pt idx="8">
                  <c:v>21289.167868058026</c:v>
                </c:pt>
                <c:pt idx="9">
                  <c:v>21174.579473861235</c:v>
                </c:pt>
                <c:pt idx="10">
                  <c:v>16119.610594131953</c:v>
                </c:pt>
                <c:pt idx="11">
                  <c:v>20492.076844900716</c:v>
                </c:pt>
                <c:pt idx="12">
                  <c:v>22827.110760435629</c:v>
                </c:pt>
                <c:pt idx="13">
                  <c:v>21421.979279652856</c:v>
                </c:pt>
                <c:pt idx="14">
                  <c:v>23794.428822016707</c:v>
                </c:pt>
                <c:pt idx="15">
                  <c:v>18041.418648981737</c:v>
                </c:pt>
                <c:pt idx="16">
                  <c:v>19138.37575205891</c:v>
                </c:pt>
                <c:pt idx="17">
                  <c:v>23566.099783187412</c:v>
                </c:pt>
                <c:pt idx="18">
                  <c:v>22409.735295868482</c:v>
                </c:pt>
                <c:pt idx="19">
                  <c:v>23429.418256018489</c:v>
                </c:pt>
                <c:pt idx="20">
                  <c:v>18885.043285687483</c:v>
                </c:pt>
                <c:pt idx="21">
                  <c:v>23278.681110539666</c:v>
                </c:pt>
                <c:pt idx="22">
                  <c:v>19908.054496379427</c:v>
                </c:pt>
                <c:pt idx="23">
                  <c:v>18307.345166177576</c:v>
                </c:pt>
                <c:pt idx="24">
                  <c:v>22790.196386086114</c:v>
                </c:pt>
                <c:pt idx="25">
                  <c:v>22548.176425368885</c:v>
                </c:pt>
                <c:pt idx="26">
                  <c:v>21779.285889963627</c:v>
                </c:pt>
                <c:pt idx="27">
                  <c:v>20190.391392628484</c:v>
                </c:pt>
                <c:pt idx="28">
                  <c:v>23723.012708018105</c:v>
                </c:pt>
                <c:pt idx="29">
                  <c:v>22830.617015804251</c:v>
                </c:pt>
              </c:numCache>
            </c:numRef>
          </c:yVal>
          <c:smooth val="0"/>
          <c:extLst>
            <c:ext xmlns:c16="http://schemas.microsoft.com/office/drawing/2014/chart" uri="{C3380CC4-5D6E-409C-BE32-E72D297353CC}">
              <c16:uniqueId val="{00000002-ABD5-4474-AF02-1F2800225046}"/>
            </c:ext>
          </c:extLst>
        </c:ser>
        <c:dLbls>
          <c:showLegendKey val="0"/>
          <c:showVal val="0"/>
          <c:showCatName val="0"/>
          <c:showSerName val="0"/>
          <c:showPercent val="0"/>
          <c:showBubbleSize val="0"/>
        </c:dLbls>
        <c:axId val="390756224"/>
        <c:axId val="391316224"/>
      </c:scatterChart>
      <c:valAx>
        <c:axId val="390756224"/>
        <c:scaling>
          <c:orientation val="minMax"/>
          <c:max val="40000"/>
        </c:scaling>
        <c:delete val="0"/>
        <c:axPos val="b"/>
        <c:numFmt formatCode="_-* #,##0_-;\-* #,##0_-;_-* &quot;-&quot;??_-;_-@_-" sourceLinked="1"/>
        <c:majorTickMark val="out"/>
        <c:minorTickMark val="none"/>
        <c:tickLblPos val="nextTo"/>
        <c:crossAx val="391316224"/>
        <c:crosses val="autoZero"/>
        <c:crossBetween val="midCat"/>
      </c:valAx>
      <c:valAx>
        <c:axId val="391316224"/>
        <c:scaling>
          <c:orientation val="minMax"/>
        </c:scaling>
        <c:delete val="0"/>
        <c:axPos val="l"/>
        <c:numFmt formatCode="_-* #,##0_-;\-* #,##0_-;_-* &quot;-&quot;??_-;_-@_-" sourceLinked="1"/>
        <c:majorTickMark val="out"/>
        <c:minorTickMark val="none"/>
        <c:tickLblPos val="nextTo"/>
        <c:crossAx val="39075622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19</xdr:col>
      <xdr:colOff>514350</xdr:colOff>
      <xdr:row>54</xdr:row>
      <xdr:rowOff>157162</xdr:rowOff>
    </xdr:from>
    <xdr:to>
      <xdr:col>27</xdr:col>
      <xdr:colOff>209550</xdr:colOff>
      <xdr:row>69</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333375</xdr:colOff>
      <xdr:row>70</xdr:row>
      <xdr:rowOff>66675</xdr:rowOff>
    </xdr:from>
    <xdr:to>
      <xdr:col>27</xdr:col>
      <xdr:colOff>28575</xdr:colOff>
      <xdr:row>84</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247656</xdr:colOff>
      <xdr:row>89</xdr:row>
      <xdr:rowOff>23812</xdr:rowOff>
    </xdr:from>
    <xdr:to>
      <xdr:col>16</xdr:col>
      <xdr:colOff>762006</xdr:colOff>
      <xdr:row>103</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314325</xdr:colOff>
      <xdr:row>43</xdr:row>
      <xdr:rowOff>23812</xdr:rowOff>
    </xdr:from>
    <xdr:to>
      <xdr:col>27</xdr:col>
      <xdr:colOff>9525</xdr:colOff>
      <xdr:row>57</xdr:row>
      <xdr:rowOff>100012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59</xdr:row>
      <xdr:rowOff>152400</xdr:rowOff>
    </xdr:from>
    <xdr:to>
      <xdr:col>26</xdr:col>
      <xdr:colOff>552450</xdr:colOff>
      <xdr:row>74</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314325</xdr:colOff>
      <xdr:row>43</xdr:row>
      <xdr:rowOff>23812</xdr:rowOff>
    </xdr:from>
    <xdr:to>
      <xdr:col>27</xdr:col>
      <xdr:colOff>9525</xdr:colOff>
      <xdr:row>57</xdr:row>
      <xdr:rowOff>100012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59</xdr:row>
      <xdr:rowOff>152400</xdr:rowOff>
    </xdr:from>
    <xdr:to>
      <xdr:col>26</xdr:col>
      <xdr:colOff>552450</xdr:colOff>
      <xdr:row>74</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314325</xdr:colOff>
      <xdr:row>43</xdr:row>
      <xdr:rowOff>23812</xdr:rowOff>
    </xdr:from>
    <xdr:to>
      <xdr:col>27</xdr:col>
      <xdr:colOff>9525</xdr:colOff>
      <xdr:row>57</xdr:row>
      <xdr:rowOff>100012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59</xdr:row>
      <xdr:rowOff>152400</xdr:rowOff>
    </xdr:from>
    <xdr:to>
      <xdr:col>26</xdr:col>
      <xdr:colOff>552450</xdr:colOff>
      <xdr:row>74</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Recruits@85%25Smsy"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2"/>
  <sheetViews>
    <sheetView workbookViewId="0">
      <selection activeCell="AA35" sqref="AA35"/>
    </sheetView>
  </sheetViews>
  <sheetFormatPr defaultRowHeight="14.4" x14ac:dyDescent="0.3"/>
  <sheetData>
    <row r="2" spans="1:2" x14ac:dyDescent="0.3">
      <c r="A2" t="s">
        <v>179</v>
      </c>
    </row>
    <row r="3" spans="1:2" x14ac:dyDescent="0.3">
      <c r="A3" t="s">
        <v>180</v>
      </c>
    </row>
    <row r="5" spans="1:2" x14ac:dyDescent="0.3">
      <c r="A5" t="s">
        <v>181</v>
      </c>
    </row>
    <row r="6" spans="1:2" x14ac:dyDescent="0.3">
      <c r="A6" t="s">
        <v>187</v>
      </c>
    </row>
    <row r="7" spans="1:2" x14ac:dyDescent="0.3">
      <c r="B7" t="s">
        <v>182</v>
      </c>
    </row>
    <row r="8" spans="1:2" x14ac:dyDescent="0.3">
      <c r="B8" t="s">
        <v>183</v>
      </c>
    </row>
    <row r="9" spans="1:2" x14ac:dyDescent="0.3">
      <c r="B9" t="s">
        <v>184</v>
      </c>
    </row>
    <row r="10" spans="1:2" x14ac:dyDescent="0.3">
      <c r="B10" t="s">
        <v>185</v>
      </c>
    </row>
    <row r="11" spans="1:2" x14ac:dyDescent="0.3">
      <c r="B11" t="s">
        <v>186</v>
      </c>
    </row>
    <row r="13" spans="1:2" x14ac:dyDescent="0.3">
      <c r="A13" t="s">
        <v>188</v>
      </c>
    </row>
    <row r="14" spans="1:2" x14ac:dyDescent="0.3">
      <c r="A14" t="s">
        <v>201</v>
      </c>
    </row>
    <row r="16" spans="1:2" x14ac:dyDescent="0.3">
      <c r="A16" t="s">
        <v>189</v>
      </c>
    </row>
    <row r="17" spans="1:2" x14ac:dyDescent="0.3">
      <c r="B17" t="s">
        <v>200</v>
      </c>
    </row>
    <row r="18" spans="1:2" x14ac:dyDescent="0.3">
      <c r="B18" t="s">
        <v>190</v>
      </c>
    </row>
    <row r="19" spans="1:2" x14ac:dyDescent="0.3">
      <c r="B19" t="s">
        <v>192</v>
      </c>
    </row>
    <row r="20" spans="1:2" x14ac:dyDescent="0.3">
      <c r="B20" t="s">
        <v>193</v>
      </c>
    </row>
    <row r="21" spans="1:2" x14ac:dyDescent="0.3">
      <c r="B21" t="s">
        <v>194</v>
      </c>
    </row>
    <row r="23" spans="1:2" x14ac:dyDescent="0.3">
      <c r="A23" t="s">
        <v>202</v>
      </c>
    </row>
    <row r="24" spans="1:2" x14ac:dyDescent="0.3">
      <c r="B24" t="s">
        <v>203</v>
      </c>
    </row>
    <row r="26" spans="1:2" x14ac:dyDescent="0.3">
      <c r="A26" t="s">
        <v>191</v>
      </c>
    </row>
    <row r="28" spans="1:2" x14ac:dyDescent="0.3">
      <c r="A28" t="s">
        <v>195</v>
      </c>
    </row>
    <row r="30" spans="1:2" x14ac:dyDescent="0.3">
      <c r="A30" t="s">
        <v>196</v>
      </c>
    </row>
    <row r="32" spans="1:2" x14ac:dyDescent="0.3">
      <c r="A32" t="s">
        <v>197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topLeftCell="A16" workbookViewId="0">
      <selection activeCell="F28" sqref="F28"/>
    </sheetView>
  </sheetViews>
  <sheetFormatPr defaultRowHeight="14.4" x14ac:dyDescent="0.3"/>
  <cols>
    <col min="15" max="15" width="12.21875" customWidth="1"/>
  </cols>
  <sheetData>
    <row r="1" spans="1:23" x14ac:dyDescent="0.3">
      <c r="B1" s="106" t="s">
        <v>15</v>
      </c>
      <c r="C1" s="106"/>
      <c r="D1" s="106"/>
      <c r="E1" s="106"/>
      <c r="F1" s="29"/>
      <c r="G1" s="106" t="s">
        <v>16</v>
      </c>
      <c r="H1" s="106"/>
      <c r="I1" s="106"/>
      <c r="J1" s="106"/>
      <c r="K1" s="29"/>
      <c r="R1" s="6" t="s">
        <v>17</v>
      </c>
    </row>
    <row r="2" spans="1:23" x14ac:dyDescent="0.3">
      <c r="B2" s="30" t="s">
        <v>18</v>
      </c>
      <c r="C2" s="30" t="s">
        <v>19</v>
      </c>
      <c r="D2" s="106" t="s">
        <v>20</v>
      </c>
      <c r="E2" s="106"/>
      <c r="F2" s="29"/>
      <c r="G2" s="30" t="s">
        <v>18</v>
      </c>
      <c r="H2" s="30" t="s">
        <v>19</v>
      </c>
      <c r="I2" s="106" t="s">
        <v>20</v>
      </c>
      <c r="J2" s="106"/>
      <c r="K2" s="31" t="s">
        <v>21</v>
      </c>
      <c r="R2" s="6" t="s">
        <v>22</v>
      </c>
      <c r="S2" s="6" t="s">
        <v>23</v>
      </c>
    </row>
    <row r="3" spans="1:23" x14ac:dyDescent="0.3">
      <c r="A3" s="7" t="s">
        <v>24</v>
      </c>
      <c r="B3" s="32" t="s">
        <v>25</v>
      </c>
      <c r="C3" s="32"/>
      <c r="D3" s="32" t="s">
        <v>26</v>
      </c>
      <c r="E3" s="32" t="s">
        <v>27</v>
      </c>
      <c r="F3" s="33"/>
      <c r="G3" s="32" t="s">
        <v>25</v>
      </c>
      <c r="H3" s="32"/>
      <c r="I3" s="32" t="s">
        <v>26</v>
      </c>
      <c r="J3" s="32" t="s">
        <v>27</v>
      </c>
      <c r="K3" s="34" t="s">
        <v>28</v>
      </c>
      <c r="L3" s="25" t="s">
        <v>29</v>
      </c>
      <c r="M3" s="25" t="s">
        <v>30</v>
      </c>
      <c r="N3" s="25" t="s">
        <v>31</v>
      </c>
      <c r="O3" s="25" t="s">
        <v>32</v>
      </c>
      <c r="P3" s="25" t="s">
        <v>33</v>
      </c>
      <c r="Q3" s="26" t="s">
        <v>34</v>
      </c>
      <c r="R3" s="27" t="s">
        <v>35</v>
      </c>
      <c r="S3" s="27" t="s">
        <v>36</v>
      </c>
      <c r="U3" s="93" t="s">
        <v>213</v>
      </c>
      <c r="V3" s="93"/>
    </row>
    <row r="4" spans="1:23" x14ac:dyDescent="0.3">
      <c r="A4" t="s">
        <v>37</v>
      </c>
      <c r="B4" s="8">
        <v>775.40326455208594</v>
      </c>
      <c r="C4" s="8">
        <v>725</v>
      </c>
      <c r="D4" s="8">
        <v>643.57674781879143</v>
      </c>
      <c r="E4" s="8">
        <v>934.2323580144681</v>
      </c>
      <c r="F4" s="8"/>
      <c r="G4" s="8">
        <v>2421.8451951877933</v>
      </c>
      <c r="H4" s="8">
        <v>2276</v>
      </c>
      <c r="I4" s="8">
        <v>2019.2313462894479</v>
      </c>
      <c r="J4" s="8">
        <v>2904.7360819909886</v>
      </c>
      <c r="K4" s="9">
        <f>+C4/H4</f>
        <v>0.31854130052724078</v>
      </c>
      <c r="L4" s="10">
        <f>+(0.5-(K4))/0.07</f>
        <v>2.5922671353251316</v>
      </c>
      <c r="M4">
        <f t="shared" ref="M4:M21" si="0">+EXP(L4)</f>
        <v>13.360026282040055</v>
      </c>
      <c r="N4" s="11">
        <f>+(0.5*L4)-(0.07*(L4^2))</f>
        <v>0.82574414460049228</v>
      </c>
      <c r="O4" s="12">
        <f>+L4/H4</f>
        <v>1.1389574408282653E-3</v>
      </c>
      <c r="P4" s="13">
        <f>+M4/(O4*(EXP(1)))</f>
        <v>4315.243771618465</v>
      </c>
      <c r="Q4" s="13">
        <f>+M4*R4*(EXP(-O4*R4))</f>
        <v>4080.7551569999341</v>
      </c>
      <c r="R4" s="14">
        <f>0.85*C4</f>
        <v>616.25</v>
      </c>
      <c r="S4" s="14">
        <f>0.25*C4</f>
        <v>181.25</v>
      </c>
    </row>
    <row r="5" spans="1:23" x14ac:dyDescent="0.3">
      <c r="A5" t="s">
        <v>38</v>
      </c>
      <c r="B5" s="8">
        <v>1424.0951205334586</v>
      </c>
      <c r="C5" s="8">
        <v>1331</v>
      </c>
      <c r="D5" s="8">
        <v>1206.9472843097151</v>
      </c>
      <c r="E5" s="8">
        <v>1680.3110945206683</v>
      </c>
      <c r="F5" s="8"/>
      <c r="G5" s="8">
        <v>4344.0515155766234</v>
      </c>
      <c r="H5" s="8">
        <v>4083</v>
      </c>
      <c r="I5" s="8">
        <v>3700.5578107208808</v>
      </c>
      <c r="J5" s="8">
        <v>5099.4429854096697</v>
      </c>
      <c r="K5" s="9">
        <f t="shared" ref="K5:K21" si="1">+C5/H5</f>
        <v>0.32598579475875583</v>
      </c>
      <c r="L5" s="10">
        <f t="shared" ref="L5:L21" si="2">+(0.5-(K5))/0.07</f>
        <v>2.4859172177320592</v>
      </c>
      <c r="M5">
        <f t="shared" si="0"/>
        <v>12.012132944878726</v>
      </c>
      <c r="N5" s="11">
        <f t="shared" ref="N5:N21" si="3">+(0.5*L5)-(0.07*(L5^2))</f>
        <v>0.81037369992686037</v>
      </c>
      <c r="O5" s="12">
        <f t="shared" ref="O5:O21" si="4">+L5/H5</f>
        <v>6.0884575501642395E-4</v>
      </c>
      <c r="P5" s="13">
        <f t="shared" ref="P5:P21" si="5">+M5/(O5*(EXP(1)))</f>
        <v>7258.0234297927436</v>
      </c>
      <c r="Q5" s="13">
        <f>+M5*R5*(EXP(-O5*R5))</f>
        <v>6824.4461166585452</v>
      </c>
      <c r="R5" s="14">
        <f t="shared" ref="R5:R21" si="6">0.85*C5</f>
        <v>1131.3499999999999</v>
      </c>
      <c r="S5" s="14">
        <f t="shared" ref="S5:S21" si="7">0.25*C5</f>
        <v>332.75</v>
      </c>
    </row>
    <row r="6" spans="1:23" x14ac:dyDescent="0.3">
      <c r="A6" s="55" t="s">
        <v>40</v>
      </c>
      <c r="B6" s="8">
        <v>5292.20706112486</v>
      </c>
      <c r="C6" s="8">
        <v>4945</v>
      </c>
      <c r="D6" s="8">
        <v>4600.6419563164272</v>
      </c>
      <c r="E6" s="8">
        <v>6087.7277222947423</v>
      </c>
      <c r="F6" s="8"/>
      <c r="G6" s="8">
        <v>15340.222550507751</v>
      </c>
      <c r="H6" s="36">
        <v>14418</v>
      </c>
      <c r="I6" s="8">
        <v>13417.024920550415</v>
      </c>
      <c r="J6" s="8">
        <v>17539.091511909686</v>
      </c>
      <c r="K6" s="9">
        <f t="shared" si="1"/>
        <v>0.34297406020252463</v>
      </c>
      <c r="L6" s="10">
        <f t="shared" si="2"/>
        <v>2.243227711392505</v>
      </c>
      <c r="M6">
        <f t="shared" si="0"/>
        <v>9.4236992329699678</v>
      </c>
      <c r="N6" s="11">
        <f t="shared" si="3"/>
        <v>0.7693689161351045</v>
      </c>
      <c r="O6" s="12">
        <f t="shared" si="4"/>
        <v>1.5558522065421731E-4</v>
      </c>
      <c r="P6" s="13">
        <f t="shared" si="5"/>
        <v>22282.227020120055</v>
      </c>
      <c r="Q6" s="13">
        <f t="shared" ref="Q6:Q21" si="8">+M6*R6*(EXP(-O6*R6))</f>
        <v>20596.520798496003</v>
      </c>
      <c r="R6" s="14">
        <f t="shared" si="6"/>
        <v>4203.25</v>
      </c>
      <c r="S6" s="14">
        <f t="shared" si="7"/>
        <v>1236.25</v>
      </c>
      <c r="W6" s="79" t="s">
        <v>199</v>
      </c>
    </row>
    <row r="7" spans="1:23" x14ac:dyDescent="0.3">
      <c r="A7" t="s">
        <v>41</v>
      </c>
      <c r="B7" s="8">
        <v>721.57510530328193</v>
      </c>
      <c r="C7" s="8">
        <v>674</v>
      </c>
      <c r="D7" s="8">
        <v>597.26287542984096</v>
      </c>
      <c r="E7" s="8">
        <v>871.76125289676452</v>
      </c>
      <c r="F7" s="8"/>
      <c r="G7" s="8">
        <v>2260.0336717419855</v>
      </c>
      <c r="H7" s="8">
        <v>2124</v>
      </c>
      <c r="I7" s="8">
        <v>1879.0429244699599</v>
      </c>
      <c r="J7" s="8">
        <v>2718.2732926914664</v>
      </c>
      <c r="K7" s="9">
        <f t="shared" si="1"/>
        <v>0.31732580037664782</v>
      </c>
      <c r="L7" s="10">
        <f t="shared" si="2"/>
        <v>2.6096314231907454</v>
      </c>
      <c r="M7">
        <f t="shared" si="0"/>
        <v>13.594039480653398</v>
      </c>
      <c r="N7" s="11">
        <f t="shared" si="3"/>
        <v>0.82810338005205386</v>
      </c>
      <c r="O7" s="12">
        <f t="shared" si="4"/>
        <v>1.2286400297508218E-3</v>
      </c>
      <c r="P7" s="13">
        <f t="shared" si="5"/>
        <v>4070.3277821898196</v>
      </c>
      <c r="Q7" s="13">
        <f t="shared" si="8"/>
        <v>3852.4120267274125</v>
      </c>
      <c r="R7" s="14">
        <f t="shared" si="6"/>
        <v>572.9</v>
      </c>
      <c r="S7" s="14">
        <f t="shared" si="7"/>
        <v>168.5</v>
      </c>
    </row>
    <row r="8" spans="1:23" x14ac:dyDescent="0.3">
      <c r="A8" t="s">
        <v>42</v>
      </c>
      <c r="B8" s="8">
        <v>663.38553406970084</v>
      </c>
      <c r="C8" s="8">
        <v>620</v>
      </c>
      <c r="D8" s="8">
        <v>547.31142929268287</v>
      </c>
      <c r="E8" s="8">
        <v>804.07669794449464</v>
      </c>
      <c r="F8" s="8"/>
      <c r="G8" s="8">
        <v>2084.5811976470777</v>
      </c>
      <c r="H8" s="8">
        <v>1959</v>
      </c>
      <c r="I8" s="8">
        <v>1727.3945269928781</v>
      </c>
      <c r="J8" s="8">
        <v>2515.6261072266566</v>
      </c>
      <c r="K8" s="9">
        <f t="shared" si="1"/>
        <v>0.31648800408371619</v>
      </c>
      <c r="L8" s="10">
        <f t="shared" si="2"/>
        <v>2.6215999416611973</v>
      </c>
      <c r="M8">
        <f t="shared" si="0"/>
        <v>13.757717531312117</v>
      </c>
      <c r="N8" s="11">
        <f t="shared" si="3"/>
        <v>0.82970493304233905</v>
      </c>
      <c r="O8" s="12">
        <f t="shared" si="4"/>
        <v>1.3382337629715146E-3</v>
      </c>
      <c r="P8" s="13">
        <f t="shared" si="5"/>
        <v>3781.9860604737919</v>
      </c>
      <c r="Q8" s="13">
        <f t="shared" si="8"/>
        <v>3581.551255435546</v>
      </c>
      <c r="R8" s="14">
        <f t="shared" si="6"/>
        <v>527</v>
      </c>
      <c r="S8" s="14">
        <f t="shared" si="7"/>
        <v>155</v>
      </c>
    </row>
    <row r="9" spans="1:23" x14ac:dyDescent="0.3">
      <c r="A9" t="s">
        <v>43</v>
      </c>
      <c r="B9" s="8">
        <v>497.67466436277726</v>
      </c>
      <c r="C9" s="8">
        <v>465</v>
      </c>
      <c r="D9" s="8">
        <v>405.86373517042398</v>
      </c>
      <c r="E9" s="8">
        <v>610.25425551903777</v>
      </c>
      <c r="F9" s="8"/>
      <c r="G9" s="8">
        <v>1581.4316882697296</v>
      </c>
      <c r="H9" s="8">
        <v>1486</v>
      </c>
      <c r="I9" s="8">
        <v>1295.0269841536217</v>
      </c>
      <c r="J9" s="8">
        <v>1931.1768907256815</v>
      </c>
      <c r="K9" s="9">
        <f t="shared" si="1"/>
        <v>0.31292059219380886</v>
      </c>
      <c r="L9" s="10">
        <f t="shared" si="2"/>
        <v>2.6725629686598733</v>
      </c>
      <c r="M9">
        <f t="shared" si="0"/>
        <v>14.477025848532371</v>
      </c>
      <c r="N9" s="11">
        <f t="shared" si="3"/>
        <v>0.83629998682829143</v>
      </c>
      <c r="O9" s="12">
        <f t="shared" si="4"/>
        <v>1.7984945953296589E-3</v>
      </c>
      <c r="P9" s="13">
        <f t="shared" si="5"/>
        <v>2961.2544807266495</v>
      </c>
      <c r="Q9" s="13">
        <f t="shared" si="8"/>
        <v>2810.8057245580248</v>
      </c>
      <c r="R9" s="14">
        <f t="shared" si="6"/>
        <v>395.25</v>
      </c>
      <c r="S9" s="14">
        <f t="shared" si="7"/>
        <v>116.25</v>
      </c>
    </row>
    <row r="10" spans="1:23" x14ac:dyDescent="0.3">
      <c r="A10" t="s">
        <v>44</v>
      </c>
      <c r="B10" s="8">
        <f>SUM(habitat_bench!C2:C20)</f>
        <v>19158</v>
      </c>
      <c r="C10" s="8">
        <v>628</v>
      </c>
      <c r="D10" s="8">
        <v>554.45603381917488</v>
      </c>
      <c r="E10" s="8">
        <v>813.77876044809466</v>
      </c>
      <c r="F10" s="8"/>
      <c r="G10" s="8">
        <v>2109.739499271227</v>
      </c>
      <c r="H10" s="8">
        <v>1983</v>
      </c>
      <c r="I10" s="8">
        <v>1749.1150375423008</v>
      </c>
      <c r="J10" s="8">
        <v>2544.7158473003315</v>
      </c>
      <c r="K10" s="9">
        <f t="shared" si="1"/>
        <v>0.3166918809884014</v>
      </c>
      <c r="L10" s="10">
        <f t="shared" si="2"/>
        <v>2.6186874144514083</v>
      </c>
      <c r="M10">
        <f t="shared" si="0"/>
        <v>13.717706100132713</v>
      </c>
      <c r="N10" s="11">
        <f t="shared" si="3"/>
        <v>0.82931704300326992</v>
      </c>
      <c r="O10" s="12">
        <f t="shared" si="4"/>
        <v>1.3205685398141242E-3</v>
      </c>
      <c r="P10" s="13">
        <f t="shared" si="5"/>
        <v>3821.4313775650139</v>
      </c>
      <c r="Q10" s="13">
        <f t="shared" si="8"/>
        <v>3618.4070439657444</v>
      </c>
      <c r="R10" s="14">
        <f t="shared" si="6"/>
        <v>533.79999999999995</v>
      </c>
      <c r="S10" s="14">
        <f t="shared" si="7"/>
        <v>157</v>
      </c>
    </row>
    <row r="11" spans="1:23" x14ac:dyDescent="0.3">
      <c r="A11" s="15" t="s">
        <v>45</v>
      </c>
      <c r="B11" s="16">
        <v>1158.3836502135132</v>
      </c>
      <c r="C11" s="16">
        <v>1082</v>
      </c>
      <c r="D11" s="16">
        <v>975.28414206058153</v>
      </c>
      <c r="E11" s="16">
        <v>1375.8581968193544</v>
      </c>
      <c r="F11" s="16"/>
      <c r="G11" s="16">
        <v>3562.0066870906285</v>
      </c>
      <c r="H11" s="16">
        <v>3348</v>
      </c>
      <c r="I11" s="16">
        <v>3013.7584009526004</v>
      </c>
      <c r="J11" s="16">
        <v>4209.9896378116828</v>
      </c>
      <c r="K11" s="9">
        <f t="shared" si="1"/>
        <v>0.32317801672640384</v>
      </c>
      <c r="L11" s="10">
        <f t="shared" si="2"/>
        <v>2.5260283324799451</v>
      </c>
      <c r="M11">
        <f t="shared" si="0"/>
        <v>12.503746663533452</v>
      </c>
      <c r="N11" s="11">
        <f t="shared" si="3"/>
        <v>0.81635682668557363</v>
      </c>
      <c r="O11" s="12">
        <f t="shared" si="4"/>
        <v>7.5448874924729538E-4</v>
      </c>
      <c r="P11" s="13">
        <f t="shared" si="5"/>
        <v>6096.6731972066746</v>
      </c>
      <c r="Q11" s="13">
        <f t="shared" si="8"/>
        <v>5745.5019592627814</v>
      </c>
      <c r="R11" s="14">
        <f t="shared" si="6"/>
        <v>919.69999999999993</v>
      </c>
      <c r="S11" s="14">
        <f t="shared" si="7"/>
        <v>270.5</v>
      </c>
    </row>
    <row r="12" spans="1:23" x14ac:dyDescent="0.3">
      <c r="A12" t="s">
        <v>47</v>
      </c>
      <c r="B12" s="8">
        <v>621.22998359215353</v>
      </c>
      <c r="C12" s="8">
        <v>580</v>
      </c>
      <c r="D12" s="8">
        <v>511.20706965869437</v>
      </c>
      <c r="E12" s="8">
        <v>754.93222887463173</v>
      </c>
      <c r="F12" s="8"/>
      <c r="G12" s="8">
        <v>1957.1027305588323</v>
      </c>
      <c r="H12" s="8">
        <v>1839</v>
      </c>
      <c r="I12" s="8">
        <v>1617.4706379050117</v>
      </c>
      <c r="J12" s="8">
        <v>2368.0498478302356</v>
      </c>
      <c r="K12" s="9">
        <f t="shared" si="1"/>
        <v>0.31538879825992389</v>
      </c>
      <c r="L12" s="10">
        <f t="shared" si="2"/>
        <v>2.6373028820010873</v>
      </c>
      <c r="M12">
        <f t="shared" si="0"/>
        <v>13.975459267411345</v>
      </c>
      <c r="N12" s="11">
        <f t="shared" si="3"/>
        <v>0.83177578660175677</v>
      </c>
      <c r="O12" s="12">
        <f t="shared" si="4"/>
        <v>1.4340961837961323E-3</v>
      </c>
      <c r="P12" s="13">
        <f t="shared" si="5"/>
        <v>3585.0343955314602</v>
      </c>
      <c r="Q12" s="13">
        <f t="shared" si="8"/>
        <v>3397.5254521505685</v>
      </c>
      <c r="R12" s="14">
        <f t="shared" si="6"/>
        <v>493</v>
      </c>
      <c r="S12" s="14">
        <f t="shared" si="7"/>
        <v>145</v>
      </c>
    </row>
    <row r="13" spans="1:23" x14ac:dyDescent="0.3">
      <c r="A13" t="s">
        <v>48</v>
      </c>
      <c r="B13" s="8">
        <v>393.99472368047225</v>
      </c>
      <c r="C13" s="8">
        <v>368</v>
      </c>
      <c r="D13" s="8">
        <v>318.15335335586832</v>
      </c>
      <c r="E13" s="8">
        <v>487.91515365364751</v>
      </c>
      <c r="F13" s="8"/>
      <c r="G13" s="8">
        <v>1263.3949200238803</v>
      </c>
      <c r="H13" s="8">
        <v>1187</v>
      </c>
      <c r="I13" s="8">
        <v>1024.2228362399123</v>
      </c>
      <c r="J13" s="8">
        <v>1558.4174336533374</v>
      </c>
      <c r="K13" s="9">
        <f t="shared" si="1"/>
        <v>0.31002527379949452</v>
      </c>
      <c r="L13" s="10">
        <f t="shared" si="2"/>
        <v>2.7139246600072209</v>
      </c>
      <c r="M13">
        <f t="shared" si="0"/>
        <v>15.088376210634227</v>
      </c>
      <c r="N13" s="11">
        <f t="shared" si="3"/>
        <v>0.84138523578993873</v>
      </c>
      <c r="O13" s="12">
        <f t="shared" si="4"/>
        <v>2.2863729233422248E-3</v>
      </c>
      <c r="P13" s="13">
        <f t="shared" si="5"/>
        <v>2427.7331803066381</v>
      </c>
      <c r="Q13" s="13">
        <f t="shared" si="8"/>
        <v>2308.4029903497362</v>
      </c>
      <c r="R13" s="14">
        <f t="shared" si="6"/>
        <v>312.8</v>
      </c>
      <c r="S13" s="14">
        <f t="shared" si="7"/>
        <v>92</v>
      </c>
    </row>
    <row r="14" spans="1:23" x14ac:dyDescent="0.3">
      <c r="A14" t="s">
        <v>49</v>
      </c>
      <c r="B14" s="8">
        <v>835.1323464025802</v>
      </c>
      <c r="C14" s="8">
        <v>780</v>
      </c>
      <c r="D14" s="8">
        <v>695.07453261234878</v>
      </c>
      <c r="E14" s="8">
        <v>1003.4118692086408</v>
      </c>
      <c r="F14" s="8"/>
      <c r="G14" s="8">
        <v>2600.8858299941571</v>
      </c>
      <c r="H14" s="8">
        <v>2445</v>
      </c>
      <c r="I14" s="8">
        <v>2174.6771272259216</v>
      </c>
      <c r="J14" s="8">
        <v>3110.6259480889089</v>
      </c>
      <c r="K14" s="9">
        <f t="shared" si="1"/>
        <v>0.31901840490797545</v>
      </c>
      <c r="L14" s="10">
        <f t="shared" si="2"/>
        <v>2.5854513584574934</v>
      </c>
      <c r="M14">
        <f t="shared" si="0"/>
        <v>13.269276938904454</v>
      </c>
      <c r="N14" s="11">
        <f t="shared" si="3"/>
        <v>0.82480656834226784</v>
      </c>
      <c r="O14" s="12">
        <f t="shared" si="4"/>
        <v>1.0574443183875228E-3</v>
      </c>
      <c r="P14" s="13">
        <f t="shared" si="5"/>
        <v>4616.3132187205638</v>
      </c>
      <c r="Q14" s="13">
        <f t="shared" si="8"/>
        <v>4363.9843707960608</v>
      </c>
      <c r="R14" s="14">
        <f t="shared" si="6"/>
        <v>663</v>
      </c>
      <c r="S14" s="14">
        <f t="shared" si="7"/>
        <v>195</v>
      </c>
    </row>
    <row r="15" spans="1:23" x14ac:dyDescent="0.3">
      <c r="A15" t="s">
        <v>50</v>
      </c>
      <c r="B15" s="8">
        <v>1093.008216767643</v>
      </c>
      <c r="C15" s="8">
        <v>1021</v>
      </c>
      <c r="D15" s="8">
        <v>918.44375793354914</v>
      </c>
      <c r="E15" s="8">
        <v>1300.7513542359109</v>
      </c>
      <c r="F15" s="8"/>
      <c r="G15" s="8">
        <v>3368.5767940241553</v>
      </c>
      <c r="H15" s="8">
        <v>3166</v>
      </c>
      <c r="I15" s="8">
        <v>2844.3684754117094</v>
      </c>
      <c r="J15" s="8">
        <v>3989.3950855279309</v>
      </c>
      <c r="K15" s="9">
        <f t="shared" si="1"/>
        <v>0.32248894504106129</v>
      </c>
      <c r="L15" s="10">
        <f t="shared" si="2"/>
        <v>2.5358722136991241</v>
      </c>
      <c r="M15">
        <f t="shared" si="0"/>
        <v>12.627439872269552</v>
      </c>
      <c r="N15" s="11">
        <f t="shared" si="3"/>
        <v>0.81779075495477127</v>
      </c>
      <c r="O15" s="12">
        <f t="shared" si="4"/>
        <v>8.0097037703699431E-4</v>
      </c>
      <c r="P15" s="13">
        <f t="shared" si="5"/>
        <v>5799.6845536547935</v>
      </c>
      <c r="Q15" s="13">
        <f t="shared" si="8"/>
        <v>5468.550998808093</v>
      </c>
      <c r="R15" s="14">
        <f t="shared" si="6"/>
        <v>867.85</v>
      </c>
      <c r="S15" s="14">
        <f t="shared" si="7"/>
        <v>255.25</v>
      </c>
    </row>
    <row r="16" spans="1:23" x14ac:dyDescent="0.3">
      <c r="A16" s="55" t="s">
        <v>51</v>
      </c>
      <c r="B16" s="8">
        <v>1159.385797087406</v>
      </c>
      <c r="C16" s="8">
        <v>1083</v>
      </c>
      <c r="D16" s="8">
        <v>976.15600964877945</v>
      </c>
      <c r="E16" s="8">
        <v>1377.0088112981382</v>
      </c>
      <c r="F16" s="8"/>
      <c r="G16" s="8">
        <v>3564.9684301811672</v>
      </c>
      <c r="H16" s="36">
        <v>3351</v>
      </c>
      <c r="I16" s="8">
        <v>3016.353748497731</v>
      </c>
      <c r="J16" s="8">
        <v>4213.3651978047938</v>
      </c>
      <c r="K16" s="9">
        <f t="shared" si="1"/>
        <v>0.32318710832587288</v>
      </c>
      <c r="L16" s="10">
        <f t="shared" si="2"/>
        <v>2.5258984524875299</v>
      </c>
      <c r="M16">
        <f t="shared" si="0"/>
        <v>12.502122782468742</v>
      </c>
      <c r="N16" s="11">
        <f t="shared" si="3"/>
        <v>0.816337816784242</v>
      </c>
      <c r="O16" s="12">
        <f t="shared" si="4"/>
        <v>7.537745307333721E-4</v>
      </c>
      <c r="P16" s="13">
        <f t="shared" si="5"/>
        <v>6101.6573990588049</v>
      </c>
      <c r="Q16" s="13">
        <f t="shared" si="8"/>
        <v>5750.1580807862392</v>
      </c>
      <c r="R16" s="14">
        <f t="shared" si="6"/>
        <v>920.55</v>
      </c>
      <c r="S16" s="14">
        <f t="shared" si="7"/>
        <v>270.75</v>
      </c>
      <c r="W16" s="79" t="s">
        <v>198</v>
      </c>
    </row>
    <row r="17" spans="1:23" x14ac:dyDescent="0.3">
      <c r="A17" t="s">
        <v>53</v>
      </c>
      <c r="B17" s="8">
        <v>625.48025501113318</v>
      </c>
      <c r="C17" s="8">
        <v>584</v>
      </c>
      <c r="D17" s="8">
        <v>514.84385080616414</v>
      </c>
      <c r="E17" s="8">
        <v>759.89166190136041</v>
      </c>
      <c r="F17" s="8"/>
      <c r="G17" s="8">
        <v>1969.9704403357237</v>
      </c>
      <c r="H17" s="8">
        <v>1852</v>
      </c>
      <c r="I17" s="8">
        <v>1628.5558051624603</v>
      </c>
      <c r="J17" s="8">
        <v>2382.9601193244885</v>
      </c>
      <c r="K17" s="9">
        <f t="shared" si="1"/>
        <v>0.31533477321814257</v>
      </c>
      <c r="L17" s="10">
        <f t="shared" si="2"/>
        <v>2.6380746683122487</v>
      </c>
      <c r="M17">
        <f t="shared" si="0"/>
        <v>13.986249498907005</v>
      </c>
      <c r="N17" s="11">
        <f t="shared" si="3"/>
        <v>0.83187667726476966</v>
      </c>
      <c r="O17" s="12">
        <f t="shared" si="4"/>
        <v>1.4244463651794E-3</v>
      </c>
      <c r="P17" s="13">
        <f t="shared" si="5"/>
        <v>3612.1076760192814</v>
      </c>
      <c r="Q17" s="13">
        <f t="shared" si="8"/>
        <v>3423.3043436874382</v>
      </c>
      <c r="R17" s="14">
        <f t="shared" si="6"/>
        <v>496.4</v>
      </c>
      <c r="S17" s="14">
        <f t="shared" si="7"/>
        <v>146</v>
      </c>
    </row>
    <row r="18" spans="1:23" x14ac:dyDescent="0.3">
      <c r="A18" t="s">
        <v>55</v>
      </c>
      <c r="B18" s="8">
        <v>403.39334543377845</v>
      </c>
      <c r="C18" s="8">
        <v>377</v>
      </c>
      <c r="D18" s="8">
        <v>326.07300840240293</v>
      </c>
      <c r="E18" s="8">
        <v>499.04833257292245</v>
      </c>
      <c r="F18" s="8"/>
      <c r="G18" s="8">
        <v>1292.3479571963451</v>
      </c>
      <c r="H18" s="8">
        <v>1215</v>
      </c>
      <c r="I18" s="8">
        <v>1048.7768747139799</v>
      </c>
      <c r="J18" s="8">
        <v>1592.4867173726057</v>
      </c>
      <c r="K18" s="9">
        <f>+C18/H18</f>
        <v>0.3102880658436214</v>
      </c>
      <c r="L18" s="10">
        <f>+(0.5-(K18))/0.07</f>
        <v>2.7101704879482655</v>
      </c>
      <c r="M18">
        <f>+EXP(L18)</f>
        <v>15.031838043655782</v>
      </c>
      <c r="N18" s="11">
        <f>+(0.5*L18)-(0.07*(L18^2))</f>
        <v>0.84093355881193099</v>
      </c>
      <c r="O18" s="12">
        <f>+L18/H18</f>
        <v>2.2305929941961035E-3</v>
      </c>
      <c r="P18" s="13">
        <f>+M18/(O18*(EXP(1)))</f>
        <v>2479.1184199306026</v>
      </c>
      <c r="Q18" s="13">
        <f>+M18*R18*(EXP(-O18*R18))</f>
        <v>2356.9017575080311</v>
      </c>
      <c r="R18" s="14">
        <f>0.85*C18</f>
        <v>320.45</v>
      </c>
      <c r="S18" s="14">
        <f>0.25*C18</f>
        <v>94.25</v>
      </c>
    </row>
    <row r="19" spans="1:23" x14ac:dyDescent="0.3">
      <c r="A19" s="55" t="s">
        <v>56</v>
      </c>
      <c r="B19" s="8">
        <v>3624.209430297743</v>
      </c>
      <c r="C19" s="8">
        <v>3386</v>
      </c>
      <c r="D19" s="8">
        <v>3138.4337601043981</v>
      </c>
      <c r="E19" s="8">
        <v>4185.1748351770748</v>
      </c>
      <c r="F19" s="8"/>
      <c r="G19" s="8">
        <v>10661.04250659525</v>
      </c>
      <c r="H19" s="36">
        <v>10020</v>
      </c>
      <c r="I19" s="8">
        <v>9286.8428334196014</v>
      </c>
      <c r="J19" s="8">
        <v>12238.586284503712</v>
      </c>
      <c r="K19" s="9">
        <f t="shared" si="1"/>
        <v>0.33792415169660678</v>
      </c>
      <c r="L19" s="10">
        <f t="shared" si="2"/>
        <v>2.3153692614770458</v>
      </c>
      <c r="M19">
        <f t="shared" si="0"/>
        <v>10.128662353107295</v>
      </c>
      <c r="N19" s="11">
        <f t="shared" si="3"/>
        <v>0.78241919354902967</v>
      </c>
      <c r="O19" s="12">
        <f t="shared" si="4"/>
        <v>2.3107477659451556E-4</v>
      </c>
      <c r="P19" s="13">
        <f t="shared" si="5"/>
        <v>16125.198523133726</v>
      </c>
      <c r="Q19" s="13">
        <f t="shared" si="8"/>
        <v>14990.899262967601</v>
      </c>
      <c r="R19" s="14">
        <f t="shared" si="6"/>
        <v>2878.1</v>
      </c>
      <c r="S19" s="14">
        <f t="shared" si="7"/>
        <v>846.5</v>
      </c>
      <c r="W19" s="79" t="s">
        <v>199</v>
      </c>
    </row>
    <row r="20" spans="1:23" x14ac:dyDescent="0.3">
      <c r="A20" t="s">
        <v>57</v>
      </c>
      <c r="B20" s="8">
        <v>545.13475854080275</v>
      </c>
      <c r="C20" s="8">
        <v>509</v>
      </c>
      <c r="D20" s="8">
        <v>446.23620380498312</v>
      </c>
      <c r="E20" s="8">
        <v>665.95202817566815</v>
      </c>
      <c r="F20" s="8"/>
      <c r="G20" s="8">
        <v>1726.12024592683</v>
      </c>
      <c r="H20" s="8">
        <v>1622</v>
      </c>
      <c r="I20" s="8">
        <v>1418.9265159274298</v>
      </c>
      <c r="J20" s="8">
        <v>2099.8205826402955</v>
      </c>
      <c r="K20" s="9">
        <f t="shared" si="1"/>
        <v>0.31381011097410605</v>
      </c>
      <c r="L20" s="10">
        <f t="shared" si="2"/>
        <v>2.6598555575127705</v>
      </c>
      <c r="M20">
        <f t="shared" si="0"/>
        <v>14.294224256251114</v>
      </c>
      <c r="N20" s="11">
        <f t="shared" si="3"/>
        <v>0.83468956767817515</v>
      </c>
      <c r="O20" s="12">
        <f t="shared" si="4"/>
        <v>1.6398616260867882E-3</v>
      </c>
      <c r="P20" s="13">
        <f t="shared" si="5"/>
        <v>3206.7042412093324</v>
      </c>
      <c r="Q20" s="13">
        <f t="shared" si="8"/>
        <v>3042.0852965025451</v>
      </c>
      <c r="R20" s="14">
        <f t="shared" si="6"/>
        <v>432.65</v>
      </c>
      <c r="S20" s="14">
        <f t="shared" si="7"/>
        <v>127.25</v>
      </c>
    </row>
    <row r="21" spans="1:23" x14ac:dyDescent="0.3">
      <c r="A21" t="s">
        <v>58</v>
      </c>
      <c r="B21" s="8">
        <v>1162.0820125463486</v>
      </c>
      <c r="C21" s="8">
        <v>1085.8574031498865</v>
      </c>
      <c r="D21" s="8">
        <v>978.50179674700507</v>
      </c>
      <c r="E21" s="8">
        <v>1380.1043680995215</v>
      </c>
      <c r="F21" s="8"/>
      <c r="G21" s="8">
        <v>3572.9363267729741</v>
      </c>
      <c r="H21" s="8">
        <v>3358.1104503474976</v>
      </c>
      <c r="I21" s="8">
        <v>3023.3361860515847</v>
      </c>
      <c r="J21" s="8">
        <v>4222.4460693687925</v>
      </c>
      <c r="K21" s="9">
        <f t="shared" si="1"/>
        <v>0.32335368928604535</v>
      </c>
      <c r="L21" s="10">
        <f t="shared" si="2"/>
        <v>2.5235187244850663</v>
      </c>
      <c r="M21">
        <f t="shared" si="0"/>
        <v>12.472406503147946</v>
      </c>
      <c r="N21" s="11">
        <f t="shared" si="3"/>
        <v>0.81598908954466154</v>
      </c>
      <c r="O21" s="12">
        <f t="shared" si="4"/>
        <v>7.5146984049435667E-4</v>
      </c>
      <c r="P21" s="13">
        <f t="shared" si="5"/>
        <v>6105.8231311354766</v>
      </c>
      <c r="Q21" s="13">
        <f t="shared" si="8"/>
        <v>5753.3309176673547</v>
      </c>
      <c r="R21" s="14">
        <f t="shared" si="6"/>
        <v>922.97879267740348</v>
      </c>
      <c r="S21" s="14">
        <f t="shared" si="7"/>
        <v>271.46435078747163</v>
      </c>
    </row>
    <row r="22" spans="1:23" x14ac:dyDescent="0.3">
      <c r="A22" s="17" t="s">
        <v>46</v>
      </c>
      <c r="B22" s="8"/>
      <c r="C22" s="18">
        <f>+SUM(C4:C21)</f>
        <v>20243.857403149887</v>
      </c>
      <c r="D22" s="21"/>
      <c r="E22" s="21"/>
      <c r="F22" s="21"/>
      <c r="G22" s="21"/>
      <c r="H22" s="18">
        <f>+SUM(H4:H21)</f>
        <v>61732.1104503475</v>
      </c>
      <c r="I22" s="28"/>
      <c r="J22" s="8"/>
      <c r="K22" s="19">
        <f>+C22/H22</f>
        <v>0.3279307520100494</v>
      </c>
      <c r="L22" s="20">
        <f>+(0.5-(K22))/0.07</f>
        <v>2.4581321141421513</v>
      </c>
      <c r="M22" s="21">
        <f>+EXP(L22)</f>
        <v>11.682968694358559</v>
      </c>
      <c r="N22" s="35">
        <f>+(0.5*L22)-(0.07*(L22^2))</f>
        <v>0.80609711273068818</v>
      </c>
      <c r="O22" s="22">
        <f>+L22/H22</f>
        <v>3.9819343550862095E-5</v>
      </c>
      <c r="P22" s="23">
        <f>+M22/(O22*(EXP(1)))</f>
        <v>107935.58133408835</v>
      </c>
      <c r="Q22" s="23">
        <f>+M22*R22*(EXP(-O22*R22))</f>
        <v>101319.81996566492</v>
      </c>
      <c r="R22" s="24">
        <f>0.85*C22</f>
        <v>17207.278792677404</v>
      </c>
      <c r="S22" s="24">
        <f>0.25*C22</f>
        <v>5060.9643507874716</v>
      </c>
    </row>
    <row r="25" spans="1:23" x14ac:dyDescent="0.3">
      <c r="A25" t="s">
        <v>52</v>
      </c>
      <c r="B25" s="8">
        <v>2520.2774832237315</v>
      </c>
      <c r="C25" s="8">
        <v>2355</v>
      </c>
      <c r="D25" s="8">
        <v>2168.2597606391269</v>
      </c>
      <c r="E25" s="8">
        <v>2929.4454049049259</v>
      </c>
      <c r="F25" s="8"/>
      <c r="G25" s="8">
        <v>7519.1278200401403</v>
      </c>
      <c r="H25" s="8">
        <v>7067</v>
      </c>
      <c r="I25" s="8">
        <v>6505.5373529048929</v>
      </c>
      <c r="J25" s="8">
        <v>8690.6400051421133</v>
      </c>
      <c r="K25" s="9">
        <f>+C25/H25</f>
        <v>0.33323899816046415</v>
      </c>
      <c r="L25" s="10">
        <f>+(0.5-(K25))/0.07</f>
        <v>2.3823000262790832</v>
      </c>
      <c r="M25">
        <f>+EXP(L25)</f>
        <v>10.829783026006288</v>
      </c>
      <c r="N25" s="11">
        <f>+(0.5*L25)-(0.07*(L25^2))</f>
        <v>0.79387527407488911</v>
      </c>
      <c r="O25" s="12">
        <f>+L25/H25</f>
        <v>3.3710202720802082E-4</v>
      </c>
      <c r="P25" s="13">
        <f>+M25/(O25*(EXP(1)))</f>
        <v>11818.542180277849</v>
      </c>
      <c r="Q25" s="13">
        <f>+M25*R25*(EXP(-O25*R25))</f>
        <v>11040.030916868702</v>
      </c>
      <c r="R25" s="14">
        <f>0.85*C25</f>
        <v>2001.75</v>
      </c>
      <c r="S25" s="14">
        <f>0.25*C25</f>
        <v>588.75</v>
      </c>
    </row>
    <row r="26" spans="1:23" x14ac:dyDescent="0.3">
      <c r="A26" t="s">
        <v>54</v>
      </c>
      <c r="B26" s="8">
        <v>5412.2127953343161</v>
      </c>
      <c r="C26" s="8">
        <v>5057</v>
      </c>
      <c r="D26" s="8">
        <v>4705.5739551508304</v>
      </c>
      <c r="E26" s="8">
        <v>6224.9680105264806</v>
      </c>
      <c r="F26" s="8"/>
      <c r="G26" s="8">
        <v>15674.408251222727</v>
      </c>
      <c r="H26" s="8">
        <v>14732</v>
      </c>
      <c r="I26" s="8">
        <v>13711.166503595006</v>
      </c>
      <c r="J26" s="8">
        <v>17918.757967207315</v>
      </c>
      <c r="K26" s="9">
        <f>+C26/H26</f>
        <v>0.34326635894651097</v>
      </c>
      <c r="L26" s="10">
        <f>+(0.5-(K26))/0.07</f>
        <v>2.2390520150498432</v>
      </c>
      <c r="M26">
        <f>+EXP(L26)</f>
        <v>9.3844307701952054</v>
      </c>
      <c r="N26" s="11">
        <f>+(0.5*L26)-(0.07*(L26^2))</f>
        <v>0.76859123269800811</v>
      </c>
      <c r="O26" s="12">
        <f>+L26/H26</f>
        <v>1.5198561057900103E-4</v>
      </c>
      <c r="P26" s="13">
        <f>+M26/(O26*(EXP(1)))</f>
        <v>22714.907906738968</v>
      </c>
      <c r="Q26" s="13">
        <f>+M26*R26*(EXP(-O26*R26))</f>
        <v>20989.114786911745</v>
      </c>
      <c r="R26" s="14">
        <f>0.85*C26</f>
        <v>4298.45</v>
      </c>
      <c r="S26" s="14">
        <f>0.25*C26</f>
        <v>1264.25</v>
      </c>
    </row>
    <row r="27" spans="1:23" x14ac:dyDescent="0.3">
      <c r="A27" t="s">
        <v>39</v>
      </c>
      <c r="B27" s="8">
        <v>772.53225553341395</v>
      </c>
      <c r="C27" s="8">
        <v>722</v>
      </c>
      <c r="D27" s="8">
        <v>641.10412867244463</v>
      </c>
      <c r="E27" s="8">
        <v>930.90351340486586</v>
      </c>
      <c r="F27" s="8"/>
      <c r="G27" s="8">
        <v>2413.2260221222105</v>
      </c>
      <c r="H27" s="8">
        <v>2268</v>
      </c>
      <c r="I27" s="8">
        <v>2011.7565296512107</v>
      </c>
      <c r="J27" s="8">
        <v>2894.8134369209515</v>
      </c>
      <c r="K27" s="9">
        <f>+C27/H27</f>
        <v>0.31834215167548502</v>
      </c>
      <c r="L27" s="10">
        <f>+(0.5-(K27))/0.07</f>
        <v>2.5951121189216422</v>
      </c>
      <c r="M27">
        <f>+EXP(L27)</f>
        <v>13.398089456541561</v>
      </c>
      <c r="N27" s="11">
        <f>+(0.5*L27)-(0.07*(L27^2))</f>
        <v>0.82613357577664281</v>
      </c>
      <c r="O27" s="12">
        <f>+L27/H27</f>
        <v>1.1442293293305302E-3</v>
      </c>
      <c r="P27" s="13">
        <f>+M27/(O27*(EXP(1)))</f>
        <v>4307.5994782630778</v>
      </c>
      <c r="Q27" s="13">
        <f>+M27*R27*(EXP(-O27*R27))</f>
        <v>4074.0985598882303</v>
      </c>
      <c r="R27" s="14">
        <f>0.85*C27</f>
        <v>613.69999999999993</v>
      </c>
      <c r="S27" s="14">
        <f>0.25*C27</f>
        <v>180.5</v>
      </c>
    </row>
    <row r="32" spans="1:23" x14ac:dyDescent="0.3">
      <c r="C32" s="14">
        <f>C22-0.6*(C19)-0.6*C16-0.6*(C6)</f>
        <v>14595.457403149889</v>
      </c>
      <c r="D32" s="14"/>
      <c r="E32" s="14"/>
      <c r="F32" s="14"/>
      <c r="G32" s="14"/>
      <c r="H32" s="14">
        <f>H22-0.6*(H19)-0.6*H16-0.6*(H6)</f>
        <v>45058.710450347498</v>
      </c>
      <c r="I32" s="14"/>
      <c r="J32" s="14"/>
      <c r="K32" s="14"/>
      <c r="L32" s="14"/>
      <c r="M32" s="14"/>
      <c r="N32" s="14"/>
      <c r="O32" s="14"/>
      <c r="P32" s="14">
        <f>P22-0.6*(P19)-0.6*P16-0.6*(P6)</f>
        <v>81230.131568700803</v>
      </c>
      <c r="Q32" s="14">
        <f>Q22-0.6*(Q19)-0.6*Q16-0.6*(Q6)</f>
        <v>76517.273080315019</v>
      </c>
      <c r="R32" s="14">
        <f>R22-0.6*(R19)-0.6*R16-0.6*(R6)</f>
        <v>12406.138792677404</v>
      </c>
      <c r="S32" s="14">
        <f>S22-0.6*(S19)-0.6*S16-0.6*(S6)</f>
        <v>3648.8643507874722</v>
      </c>
    </row>
  </sheetData>
  <mergeCells count="4">
    <mergeCell ref="B1:E1"/>
    <mergeCell ref="G1:J1"/>
    <mergeCell ref="D2:E2"/>
    <mergeCell ref="I2:J2"/>
  </mergeCells>
  <hyperlinks>
    <hyperlink ref="Q3" r:id="rId1"/>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Q31"/>
  <sheetViews>
    <sheetView workbookViewId="0">
      <selection activeCell="J38" sqref="J38"/>
    </sheetView>
  </sheetViews>
  <sheetFormatPr defaultRowHeight="14.4" x14ac:dyDescent="0.3"/>
  <cols>
    <col min="2" max="2" width="29" bestFit="1" customWidth="1"/>
  </cols>
  <sheetData>
    <row r="2" spans="1:69" x14ac:dyDescent="0.3">
      <c r="A2" t="s">
        <v>74</v>
      </c>
      <c r="B2" t="s">
        <v>75</v>
      </c>
      <c r="C2" t="s">
        <v>76</v>
      </c>
      <c r="D2">
        <v>2016</v>
      </c>
      <c r="E2">
        <v>2015</v>
      </c>
      <c r="F2">
        <v>2014</v>
      </c>
      <c r="G2">
        <v>2013</v>
      </c>
      <c r="H2">
        <v>2012</v>
      </c>
      <c r="I2">
        <v>2011</v>
      </c>
      <c r="J2">
        <v>2010</v>
      </c>
      <c r="K2">
        <v>2009</v>
      </c>
      <c r="L2">
        <v>2008</v>
      </c>
      <c r="M2">
        <v>2007</v>
      </c>
      <c r="N2">
        <v>2006</v>
      </c>
      <c r="O2">
        <v>2005</v>
      </c>
      <c r="P2">
        <v>2004</v>
      </c>
      <c r="Q2">
        <v>2003</v>
      </c>
      <c r="R2">
        <v>2002</v>
      </c>
      <c r="S2">
        <v>2001</v>
      </c>
      <c r="T2">
        <v>2000</v>
      </c>
      <c r="U2" t="s">
        <v>77</v>
      </c>
      <c r="V2" t="s">
        <v>78</v>
      </c>
      <c r="W2" t="s">
        <v>79</v>
      </c>
      <c r="X2" t="s">
        <v>80</v>
      </c>
      <c r="Y2" t="s">
        <v>81</v>
      </c>
      <c r="Z2" t="s">
        <v>82</v>
      </c>
      <c r="AA2" t="s">
        <v>83</v>
      </c>
      <c r="AB2" t="s">
        <v>84</v>
      </c>
      <c r="AC2" t="s">
        <v>85</v>
      </c>
      <c r="AD2" t="s">
        <v>86</v>
      </c>
      <c r="AE2" t="s">
        <v>87</v>
      </c>
      <c r="AF2" t="s">
        <v>88</v>
      </c>
      <c r="AG2" t="s">
        <v>89</v>
      </c>
      <c r="AH2" t="s">
        <v>90</v>
      </c>
      <c r="AI2" t="s">
        <v>91</v>
      </c>
      <c r="AJ2" t="s">
        <v>92</v>
      </c>
      <c r="AK2" t="s">
        <v>93</v>
      </c>
      <c r="AL2" t="s">
        <v>94</v>
      </c>
      <c r="AM2" s="55" t="s">
        <v>95</v>
      </c>
      <c r="AN2" s="55" t="s">
        <v>96</v>
      </c>
      <c r="AO2" s="55" t="s">
        <v>97</v>
      </c>
      <c r="AP2" t="s">
        <v>98</v>
      </c>
      <c r="AQ2" t="s">
        <v>99</v>
      </c>
      <c r="AR2" t="s">
        <v>100</v>
      </c>
      <c r="AS2" t="s">
        <v>101</v>
      </c>
      <c r="AT2" t="s">
        <v>102</v>
      </c>
      <c r="AU2" t="s">
        <v>103</v>
      </c>
      <c r="AV2" t="s">
        <v>104</v>
      </c>
      <c r="AW2" t="s">
        <v>105</v>
      </c>
      <c r="AX2" t="s">
        <v>106</v>
      </c>
      <c r="AY2" t="s">
        <v>107</v>
      </c>
      <c r="AZ2" t="s">
        <v>108</v>
      </c>
      <c r="BA2" t="s">
        <v>109</v>
      </c>
      <c r="BB2" t="s">
        <v>110</v>
      </c>
      <c r="BC2" t="s">
        <v>111</v>
      </c>
      <c r="BD2" t="s">
        <v>112</v>
      </c>
      <c r="BE2" t="s">
        <v>113</v>
      </c>
      <c r="BF2" t="s">
        <v>114</v>
      </c>
      <c r="BG2" t="s">
        <v>115</v>
      </c>
      <c r="BH2" t="s">
        <v>116</v>
      </c>
      <c r="BI2" t="s">
        <v>117</v>
      </c>
      <c r="BJ2" t="s">
        <v>118</v>
      </c>
      <c r="BK2" t="s">
        <v>119</v>
      </c>
      <c r="BL2" t="s">
        <v>120</v>
      </c>
      <c r="BM2" t="s">
        <v>121</v>
      </c>
      <c r="BN2" t="s">
        <v>122</v>
      </c>
      <c r="BO2" t="s">
        <v>123</v>
      </c>
    </row>
    <row r="3" spans="1:69" x14ac:dyDescent="0.3">
      <c r="A3">
        <v>20</v>
      </c>
      <c r="B3" t="s">
        <v>129</v>
      </c>
      <c r="C3" t="s">
        <v>124</v>
      </c>
      <c r="D3">
        <v>899</v>
      </c>
      <c r="E3">
        <v>2061</v>
      </c>
      <c r="F3">
        <v>4007</v>
      </c>
      <c r="G3">
        <v>874</v>
      </c>
      <c r="H3">
        <v>860</v>
      </c>
      <c r="I3">
        <v>300</v>
      </c>
      <c r="J3">
        <v>832</v>
      </c>
      <c r="K3">
        <v>2870</v>
      </c>
      <c r="L3">
        <v>900</v>
      </c>
      <c r="M3">
        <v>1500</v>
      </c>
      <c r="N3">
        <v>3712</v>
      </c>
      <c r="O3">
        <v>900</v>
      </c>
      <c r="P3">
        <v>3500</v>
      </c>
      <c r="Q3">
        <v>1000</v>
      </c>
      <c r="R3">
        <v>582</v>
      </c>
      <c r="S3">
        <v>357</v>
      </c>
      <c r="T3">
        <v>250</v>
      </c>
      <c r="U3">
        <v>1054</v>
      </c>
      <c r="V3">
        <v>3840</v>
      </c>
      <c r="W3">
        <v>827</v>
      </c>
      <c r="X3">
        <v>760</v>
      </c>
      <c r="Y3">
        <v>376</v>
      </c>
      <c r="Z3">
        <v>600</v>
      </c>
      <c r="AA3">
        <v>1300</v>
      </c>
      <c r="AB3">
        <v>500</v>
      </c>
      <c r="AC3">
        <v>450</v>
      </c>
      <c r="AD3">
        <v>500</v>
      </c>
      <c r="AE3">
        <v>300</v>
      </c>
      <c r="AF3">
        <v>1500</v>
      </c>
      <c r="AG3">
        <v>600</v>
      </c>
      <c r="AH3">
        <v>487</v>
      </c>
      <c r="AI3">
        <v>150</v>
      </c>
      <c r="AJ3">
        <v>1200</v>
      </c>
      <c r="AK3">
        <v>775</v>
      </c>
      <c r="AL3">
        <v>775</v>
      </c>
      <c r="AM3" s="55">
        <v>750</v>
      </c>
      <c r="AN3" s="55">
        <v>500</v>
      </c>
      <c r="AO3" s="55">
        <v>400</v>
      </c>
      <c r="AP3">
        <v>50</v>
      </c>
      <c r="AQ3">
        <v>75</v>
      </c>
      <c r="AR3">
        <v>75</v>
      </c>
      <c r="AS3">
        <v>200</v>
      </c>
      <c r="AT3">
        <v>750</v>
      </c>
      <c r="AU3">
        <v>3500</v>
      </c>
      <c r="AV3">
        <v>3500</v>
      </c>
      <c r="AW3">
        <v>400</v>
      </c>
      <c r="AX3">
        <v>7500</v>
      </c>
      <c r="AY3">
        <v>400</v>
      </c>
      <c r="AZ3">
        <v>750</v>
      </c>
      <c r="BA3">
        <v>400</v>
      </c>
      <c r="BB3">
        <v>1500</v>
      </c>
      <c r="BC3">
        <v>750</v>
      </c>
      <c r="BD3">
        <v>1500</v>
      </c>
      <c r="BE3">
        <v>400</v>
      </c>
      <c r="BF3">
        <v>400</v>
      </c>
      <c r="BG3">
        <v>400</v>
      </c>
      <c r="BH3">
        <v>1500</v>
      </c>
      <c r="BI3">
        <v>200</v>
      </c>
      <c r="BJ3">
        <v>200</v>
      </c>
      <c r="BK3">
        <v>200</v>
      </c>
      <c r="BL3">
        <v>25</v>
      </c>
      <c r="BM3">
        <v>200</v>
      </c>
      <c r="BN3">
        <v>400</v>
      </c>
      <c r="BO3">
        <v>400</v>
      </c>
      <c r="BQ3">
        <f>MAX(T3:BO3)</f>
        <v>7500</v>
      </c>
    </row>
    <row r="4" spans="1:69" x14ac:dyDescent="0.3">
      <c r="A4">
        <v>23</v>
      </c>
      <c r="B4" t="s">
        <v>131</v>
      </c>
      <c r="C4" t="s">
        <v>124</v>
      </c>
      <c r="D4">
        <v>847</v>
      </c>
      <c r="E4">
        <v>396</v>
      </c>
      <c r="F4">
        <v>73</v>
      </c>
      <c r="G4">
        <v>192</v>
      </c>
      <c r="H4">
        <v>178</v>
      </c>
      <c r="I4">
        <v>640</v>
      </c>
      <c r="J4">
        <v>400</v>
      </c>
      <c r="K4">
        <v>100</v>
      </c>
      <c r="L4">
        <v>140</v>
      </c>
      <c r="M4">
        <v>166</v>
      </c>
      <c r="N4">
        <v>351</v>
      </c>
      <c r="O4">
        <v>159</v>
      </c>
      <c r="P4">
        <v>1192</v>
      </c>
      <c r="Q4">
        <v>630</v>
      </c>
      <c r="R4">
        <v>319</v>
      </c>
      <c r="S4">
        <v>213</v>
      </c>
      <c r="T4">
        <v>68</v>
      </c>
      <c r="U4">
        <v>740</v>
      </c>
      <c r="V4">
        <v>739</v>
      </c>
      <c r="W4">
        <v>236</v>
      </c>
      <c r="X4">
        <v>232</v>
      </c>
      <c r="Y4">
        <v>212</v>
      </c>
      <c r="Z4">
        <v>450</v>
      </c>
      <c r="AA4">
        <v>83</v>
      </c>
      <c r="AB4">
        <v>150</v>
      </c>
      <c r="AC4">
        <v>171</v>
      </c>
      <c r="AD4">
        <v>230</v>
      </c>
      <c r="AE4">
        <v>300</v>
      </c>
      <c r="AF4">
        <v>50</v>
      </c>
      <c r="AG4" t="s">
        <v>127</v>
      </c>
      <c r="AH4">
        <v>300</v>
      </c>
      <c r="AI4">
        <v>250</v>
      </c>
      <c r="AJ4">
        <v>35</v>
      </c>
      <c r="AK4">
        <v>100</v>
      </c>
      <c r="AL4">
        <v>425</v>
      </c>
      <c r="AM4" s="55">
        <v>250</v>
      </c>
      <c r="AN4" s="55">
        <v>175</v>
      </c>
      <c r="AO4" s="55">
        <v>200</v>
      </c>
      <c r="AP4">
        <v>300</v>
      </c>
      <c r="AQ4">
        <v>450</v>
      </c>
      <c r="AR4">
        <v>550</v>
      </c>
      <c r="AS4">
        <v>750</v>
      </c>
      <c r="AT4">
        <v>600</v>
      </c>
      <c r="AU4">
        <v>750</v>
      </c>
      <c r="AV4">
        <v>900</v>
      </c>
      <c r="AW4">
        <v>1200</v>
      </c>
      <c r="AX4">
        <v>750</v>
      </c>
      <c r="AY4">
        <v>750</v>
      </c>
      <c r="AZ4">
        <v>400</v>
      </c>
      <c r="BA4">
        <v>400</v>
      </c>
      <c r="BB4">
        <v>750</v>
      </c>
      <c r="BC4">
        <v>400</v>
      </c>
      <c r="BD4">
        <v>400</v>
      </c>
      <c r="BE4">
        <v>1500</v>
      </c>
      <c r="BF4">
        <v>400</v>
      </c>
      <c r="BG4">
        <v>1500</v>
      </c>
      <c r="BH4">
        <v>750</v>
      </c>
      <c r="BI4">
        <v>1500</v>
      </c>
      <c r="BJ4">
        <v>400</v>
      </c>
      <c r="BK4">
        <v>400</v>
      </c>
      <c r="BL4">
        <v>750</v>
      </c>
      <c r="BM4">
        <v>3500</v>
      </c>
      <c r="BN4">
        <v>3500</v>
      </c>
      <c r="BO4">
        <v>3500</v>
      </c>
      <c r="BQ4">
        <f t="shared" ref="BQ4:BQ20" si="0">MAX(T4:BO4)</f>
        <v>3500</v>
      </c>
    </row>
    <row r="5" spans="1:69" x14ac:dyDescent="0.3">
      <c r="A5">
        <v>23</v>
      </c>
      <c r="B5" t="s">
        <v>132</v>
      </c>
      <c r="C5" t="s">
        <v>124</v>
      </c>
      <c r="D5">
        <v>2359</v>
      </c>
      <c r="E5">
        <v>2517</v>
      </c>
      <c r="F5">
        <v>384</v>
      </c>
      <c r="G5">
        <v>1171</v>
      </c>
      <c r="H5">
        <v>1484</v>
      </c>
      <c r="I5">
        <v>1300</v>
      </c>
      <c r="J5">
        <v>725</v>
      </c>
      <c r="K5">
        <v>505</v>
      </c>
      <c r="L5">
        <v>718</v>
      </c>
      <c r="M5">
        <v>1300</v>
      </c>
      <c r="N5">
        <v>2904</v>
      </c>
      <c r="O5">
        <v>1000</v>
      </c>
      <c r="P5">
        <v>3104</v>
      </c>
      <c r="Q5">
        <v>3380</v>
      </c>
      <c r="R5">
        <v>2968</v>
      </c>
      <c r="S5">
        <v>1247</v>
      </c>
      <c r="T5">
        <v>175</v>
      </c>
      <c r="U5">
        <v>570</v>
      </c>
      <c r="V5">
        <v>2231</v>
      </c>
      <c r="W5">
        <v>1570</v>
      </c>
      <c r="X5">
        <v>431</v>
      </c>
      <c r="Y5">
        <v>136</v>
      </c>
      <c r="Z5">
        <v>800</v>
      </c>
      <c r="AA5">
        <v>1200</v>
      </c>
      <c r="AB5">
        <v>750</v>
      </c>
      <c r="AC5">
        <v>1500</v>
      </c>
      <c r="AD5">
        <v>550</v>
      </c>
      <c r="AE5">
        <v>600</v>
      </c>
      <c r="AF5">
        <v>300</v>
      </c>
      <c r="AG5" t="s">
        <v>127</v>
      </c>
      <c r="AH5">
        <v>350</v>
      </c>
      <c r="AI5">
        <v>300</v>
      </c>
      <c r="AJ5">
        <v>90</v>
      </c>
      <c r="AK5">
        <v>127</v>
      </c>
      <c r="AL5">
        <v>145</v>
      </c>
      <c r="AM5" s="55">
        <v>160</v>
      </c>
      <c r="AN5" s="55">
        <v>300</v>
      </c>
      <c r="AO5" s="55">
        <v>400</v>
      </c>
      <c r="AP5">
        <v>25</v>
      </c>
      <c r="AQ5">
        <v>390</v>
      </c>
      <c r="AR5">
        <v>475</v>
      </c>
      <c r="AS5">
        <v>400</v>
      </c>
      <c r="AT5">
        <v>700</v>
      </c>
      <c r="AU5">
        <v>75</v>
      </c>
      <c r="AV5">
        <v>400</v>
      </c>
      <c r="AW5">
        <v>750</v>
      </c>
      <c r="AX5">
        <v>400</v>
      </c>
      <c r="AY5">
        <v>400</v>
      </c>
      <c r="AZ5">
        <v>750</v>
      </c>
      <c r="BA5">
        <v>400</v>
      </c>
      <c r="BB5">
        <v>750</v>
      </c>
      <c r="BC5">
        <v>750</v>
      </c>
      <c r="BD5">
        <v>400</v>
      </c>
      <c r="BE5">
        <v>750</v>
      </c>
      <c r="BF5">
        <v>200</v>
      </c>
      <c r="BG5">
        <v>400</v>
      </c>
      <c r="BH5">
        <v>200</v>
      </c>
      <c r="BI5">
        <v>200</v>
      </c>
      <c r="BJ5">
        <v>200</v>
      </c>
      <c r="BK5">
        <v>200</v>
      </c>
      <c r="BL5">
        <v>200</v>
      </c>
      <c r="BM5">
        <v>200</v>
      </c>
      <c r="BN5">
        <v>750</v>
      </c>
      <c r="BO5">
        <v>750</v>
      </c>
      <c r="BQ5">
        <f t="shared" si="0"/>
        <v>2231</v>
      </c>
    </row>
    <row r="6" spans="1:69" x14ac:dyDescent="0.3">
      <c r="A6">
        <v>24</v>
      </c>
      <c r="B6" t="s">
        <v>134</v>
      </c>
      <c r="C6" t="s">
        <v>124</v>
      </c>
      <c r="D6">
        <v>650</v>
      </c>
      <c r="E6">
        <v>736</v>
      </c>
      <c r="F6">
        <v>289</v>
      </c>
      <c r="G6">
        <v>584</v>
      </c>
      <c r="H6">
        <v>199</v>
      </c>
      <c r="I6">
        <v>85</v>
      </c>
      <c r="J6">
        <v>50</v>
      </c>
      <c r="K6">
        <v>44</v>
      </c>
      <c r="L6">
        <v>69</v>
      </c>
      <c r="M6">
        <v>41</v>
      </c>
      <c r="N6">
        <v>104</v>
      </c>
      <c r="O6">
        <v>65</v>
      </c>
      <c r="P6">
        <v>141</v>
      </c>
      <c r="Q6">
        <v>137</v>
      </c>
      <c r="R6">
        <v>128</v>
      </c>
      <c r="S6">
        <v>263</v>
      </c>
      <c r="T6">
        <v>143</v>
      </c>
      <c r="U6">
        <v>160</v>
      </c>
      <c r="V6">
        <v>306</v>
      </c>
      <c r="W6">
        <v>275</v>
      </c>
      <c r="X6">
        <v>528</v>
      </c>
      <c r="Y6">
        <v>291</v>
      </c>
      <c r="AM6" s="55"/>
      <c r="AN6" s="55"/>
      <c r="AO6" s="55"/>
      <c r="BQ6">
        <f t="shared" si="0"/>
        <v>528</v>
      </c>
    </row>
    <row r="7" spans="1:69" x14ac:dyDescent="0.3">
      <c r="A7">
        <v>24</v>
      </c>
      <c r="B7" t="s">
        <v>135</v>
      </c>
      <c r="C7" t="s">
        <v>124</v>
      </c>
      <c r="D7">
        <v>17</v>
      </c>
      <c r="E7">
        <v>49</v>
      </c>
      <c r="F7">
        <v>37</v>
      </c>
      <c r="G7">
        <v>73</v>
      </c>
      <c r="H7">
        <v>80</v>
      </c>
      <c r="I7">
        <v>48</v>
      </c>
      <c r="J7">
        <v>9</v>
      </c>
      <c r="K7">
        <v>15</v>
      </c>
      <c r="L7">
        <v>24</v>
      </c>
      <c r="M7">
        <v>13</v>
      </c>
      <c r="N7">
        <v>117</v>
      </c>
      <c r="O7">
        <v>36</v>
      </c>
      <c r="P7">
        <v>72</v>
      </c>
      <c r="Q7">
        <v>28</v>
      </c>
      <c r="R7">
        <v>23</v>
      </c>
      <c r="S7" t="s">
        <v>128</v>
      </c>
      <c r="T7">
        <v>160</v>
      </c>
      <c r="U7">
        <v>234</v>
      </c>
      <c r="V7">
        <v>370</v>
      </c>
      <c r="W7">
        <v>266</v>
      </c>
      <c r="X7">
        <v>164</v>
      </c>
      <c r="Y7">
        <v>323</v>
      </c>
      <c r="Z7">
        <v>841</v>
      </c>
      <c r="AA7">
        <v>436</v>
      </c>
      <c r="AB7">
        <v>150</v>
      </c>
      <c r="AC7">
        <v>10</v>
      </c>
      <c r="AD7" t="s">
        <v>127</v>
      </c>
      <c r="AE7">
        <v>26</v>
      </c>
      <c r="AF7">
        <v>30</v>
      </c>
      <c r="AG7">
        <v>25</v>
      </c>
      <c r="AH7">
        <v>30</v>
      </c>
      <c r="AI7" t="s">
        <v>126</v>
      </c>
      <c r="AJ7" t="s">
        <v>127</v>
      </c>
      <c r="AK7" t="s">
        <v>127</v>
      </c>
      <c r="AL7">
        <v>100</v>
      </c>
      <c r="AM7" s="55">
        <v>150</v>
      </c>
      <c r="AN7" s="55">
        <v>160</v>
      </c>
      <c r="AO7" s="55">
        <v>50</v>
      </c>
      <c r="AP7">
        <v>6</v>
      </c>
      <c r="AQ7">
        <v>50</v>
      </c>
      <c r="AR7">
        <v>50</v>
      </c>
      <c r="AS7">
        <v>25</v>
      </c>
      <c r="AT7">
        <v>75</v>
      </c>
      <c r="AU7">
        <v>75</v>
      </c>
      <c r="AV7">
        <v>25</v>
      </c>
      <c r="AW7">
        <v>75</v>
      </c>
      <c r="AX7">
        <v>25</v>
      </c>
      <c r="AY7">
        <v>25</v>
      </c>
      <c r="AZ7">
        <v>10</v>
      </c>
      <c r="BA7">
        <v>25</v>
      </c>
      <c r="BB7">
        <v>200</v>
      </c>
      <c r="BC7">
        <v>50</v>
      </c>
      <c r="BD7">
        <v>300</v>
      </c>
      <c r="BE7">
        <v>50</v>
      </c>
      <c r="BF7">
        <v>750</v>
      </c>
      <c r="BG7">
        <v>750</v>
      </c>
      <c r="BH7">
        <v>750</v>
      </c>
      <c r="BI7">
        <v>1500</v>
      </c>
      <c r="BJ7">
        <v>750</v>
      </c>
      <c r="BK7">
        <v>1500</v>
      </c>
      <c r="BL7">
        <v>1500</v>
      </c>
      <c r="BM7">
        <v>1500</v>
      </c>
      <c r="BN7">
        <v>750</v>
      </c>
      <c r="BO7">
        <v>1500</v>
      </c>
      <c r="BQ7">
        <f t="shared" si="0"/>
        <v>1500</v>
      </c>
    </row>
    <row r="8" spans="1:69" x14ac:dyDescent="0.3">
      <c r="A8">
        <v>24</v>
      </c>
      <c r="B8" t="s">
        <v>136</v>
      </c>
      <c r="C8" t="s">
        <v>124</v>
      </c>
      <c r="D8">
        <v>139</v>
      </c>
      <c r="E8" t="s">
        <v>125</v>
      </c>
      <c r="F8">
        <v>44</v>
      </c>
      <c r="G8">
        <v>5</v>
      </c>
      <c r="H8" t="s">
        <v>125</v>
      </c>
      <c r="I8">
        <v>67</v>
      </c>
      <c r="J8">
        <v>185</v>
      </c>
      <c r="K8">
        <v>60</v>
      </c>
      <c r="L8">
        <v>149</v>
      </c>
      <c r="M8">
        <v>112</v>
      </c>
      <c r="N8">
        <v>85</v>
      </c>
      <c r="O8">
        <v>115</v>
      </c>
      <c r="P8">
        <v>362</v>
      </c>
      <c r="Q8">
        <v>155</v>
      </c>
      <c r="R8">
        <v>54</v>
      </c>
      <c r="S8">
        <v>115</v>
      </c>
      <c r="T8">
        <v>94</v>
      </c>
      <c r="U8">
        <v>239</v>
      </c>
      <c r="V8">
        <v>155</v>
      </c>
      <c r="W8">
        <v>84</v>
      </c>
      <c r="X8">
        <v>243</v>
      </c>
      <c r="Y8">
        <v>89</v>
      </c>
      <c r="Z8">
        <v>420</v>
      </c>
      <c r="AA8">
        <v>250</v>
      </c>
      <c r="AB8" t="s">
        <v>127</v>
      </c>
      <c r="AC8" t="s">
        <v>127</v>
      </c>
      <c r="AD8" t="s">
        <v>127</v>
      </c>
      <c r="AE8">
        <v>80</v>
      </c>
      <c r="AF8" t="s">
        <v>126</v>
      </c>
      <c r="AG8" t="s">
        <v>126</v>
      </c>
      <c r="AH8" t="s">
        <v>127</v>
      </c>
      <c r="AI8" t="s">
        <v>126</v>
      </c>
      <c r="AJ8" t="s">
        <v>126</v>
      </c>
      <c r="AK8" t="s">
        <v>127</v>
      </c>
      <c r="AL8" t="s">
        <v>126</v>
      </c>
      <c r="AM8" s="55">
        <v>25</v>
      </c>
      <c r="AN8" s="55">
        <v>25</v>
      </c>
      <c r="AO8" s="55">
        <v>6</v>
      </c>
      <c r="AP8">
        <v>10</v>
      </c>
      <c r="AQ8">
        <v>50</v>
      </c>
      <c r="AR8">
        <v>25</v>
      </c>
      <c r="AS8">
        <v>25</v>
      </c>
      <c r="AT8">
        <v>50</v>
      </c>
      <c r="AU8">
        <v>75</v>
      </c>
      <c r="AV8">
        <v>75</v>
      </c>
      <c r="AW8">
        <v>75</v>
      </c>
      <c r="AX8">
        <v>25</v>
      </c>
      <c r="AY8">
        <v>75</v>
      </c>
      <c r="AZ8">
        <v>80</v>
      </c>
      <c r="BA8">
        <v>25</v>
      </c>
      <c r="BB8">
        <v>75</v>
      </c>
      <c r="BC8">
        <v>10</v>
      </c>
      <c r="BD8">
        <v>25</v>
      </c>
      <c r="BE8">
        <v>50</v>
      </c>
      <c r="BF8">
        <v>200</v>
      </c>
      <c r="BG8">
        <v>400</v>
      </c>
      <c r="BH8">
        <v>750</v>
      </c>
      <c r="BI8">
        <v>750</v>
      </c>
      <c r="BJ8">
        <v>750</v>
      </c>
      <c r="BK8">
        <v>750</v>
      </c>
      <c r="BL8">
        <v>750</v>
      </c>
      <c r="BM8">
        <v>750</v>
      </c>
      <c r="BN8">
        <v>750</v>
      </c>
      <c r="BO8">
        <v>750</v>
      </c>
      <c r="BQ8">
        <f t="shared" si="0"/>
        <v>750</v>
      </c>
    </row>
    <row r="9" spans="1:69" x14ac:dyDescent="0.3">
      <c r="A9">
        <v>24</v>
      </c>
      <c r="B9" t="s">
        <v>137</v>
      </c>
      <c r="C9" t="s">
        <v>124</v>
      </c>
      <c r="D9">
        <v>309</v>
      </c>
      <c r="E9">
        <v>199</v>
      </c>
      <c r="F9">
        <v>219</v>
      </c>
      <c r="G9">
        <v>684</v>
      </c>
      <c r="H9">
        <v>262</v>
      </c>
      <c r="I9">
        <v>221</v>
      </c>
      <c r="J9">
        <v>225</v>
      </c>
      <c r="K9">
        <v>206</v>
      </c>
      <c r="L9">
        <v>215</v>
      </c>
      <c r="M9">
        <v>253</v>
      </c>
      <c r="N9">
        <v>414</v>
      </c>
      <c r="O9">
        <v>635</v>
      </c>
      <c r="P9">
        <v>1127</v>
      </c>
      <c r="Q9">
        <v>1775</v>
      </c>
      <c r="R9">
        <v>190</v>
      </c>
      <c r="S9">
        <v>2080</v>
      </c>
      <c r="T9">
        <v>1781</v>
      </c>
      <c r="U9">
        <v>751</v>
      </c>
      <c r="V9">
        <v>800</v>
      </c>
      <c r="W9">
        <v>825</v>
      </c>
      <c r="X9">
        <v>650</v>
      </c>
      <c r="Y9">
        <v>450</v>
      </c>
      <c r="Z9">
        <v>400</v>
      </c>
      <c r="AA9">
        <v>145</v>
      </c>
      <c r="AB9" t="s">
        <v>127</v>
      </c>
      <c r="AC9">
        <v>23</v>
      </c>
      <c r="AD9">
        <v>45</v>
      </c>
      <c r="AE9">
        <v>28</v>
      </c>
      <c r="AF9" t="s">
        <v>126</v>
      </c>
      <c r="AG9">
        <v>7</v>
      </c>
      <c r="AH9">
        <v>14</v>
      </c>
      <c r="AI9">
        <v>1</v>
      </c>
      <c r="AJ9" t="s">
        <v>126</v>
      </c>
      <c r="AK9">
        <v>20</v>
      </c>
      <c r="AL9" t="s">
        <v>127</v>
      </c>
      <c r="AM9" s="55">
        <v>25</v>
      </c>
      <c r="AN9" s="55">
        <v>50</v>
      </c>
      <c r="AO9" s="55">
        <v>4</v>
      </c>
      <c r="AP9" t="s">
        <v>126</v>
      </c>
      <c r="AQ9">
        <v>25</v>
      </c>
      <c r="AR9">
        <v>25</v>
      </c>
      <c r="AS9">
        <v>25</v>
      </c>
      <c r="AT9">
        <v>25</v>
      </c>
      <c r="AU9">
        <v>200</v>
      </c>
      <c r="AV9">
        <v>25</v>
      </c>
      <c r="AW9">
        <v>75</v>
      </c>
      <c r="AX9">
        <v>25</v>
      </c>
      <c r="AY9">
        <v>25</v>
      </c>
      <c r="AZ9">
        <v>45</v>
      </c>
      <c r="BA9">
        <v>200</v>
      </c>
      <c r="BB9">
        <v>200</v>
      </c>
      <c r="BC9">
        <v>100</v>
      </c>
      <c r="BD9">
        <v>250</v>
      </c>
      <c r="BE9">
        <v>50</v>
      </c>
      <c r="BF9">
        <v>400</v>
      </c>
      <c r="BG9">
        <v>400</v>
      </c>
      <c r="BH9">
        <v>750</v>
      </c>
      <c r="BI9">
        <v>750</v>
      </c>
      <c r="BJ9">
        <v>750</v>
      </c>
      <c r="BK9">
        <v>750</v>
      </c>
      <c r="BL9">
        <v>750</v>
      </c>
      <c r="BM9">
        <v>750</v>
      </c>
      <c r="BN9">
        <v>750</v>
      </c>
      <c r="BO9">
        <v>750</v>
      </c>
      <c r="BQ9">
        <f t="shared" si="0"/>
        <v>1781</v>
      </c>
    </row>
    <row r="10" spans="1:69" x14ac:dyDescent="0.3">
      <c r="A10">
        <v>25</v>
      </c>
      <c r="B10" t="s">
        <v>138</v>
      </c>
      <c r="C10" t="s">
        <v>124</v>
      </c>
      <c r="D10">
        <v>10534</v>
      </c>
      <c r="E10">
        <v>6035</v>
      </c>
      <c r="F10">
        <v>2808</v>
      </c>
      <c r="G10">
        <v>8285</v>
      </c>
      <c r="H10">
        <v>1003</v>
      </c>
      <c r="I10">
        <v>2024</v>
      </c>
      <c r="J10">
        <v>2825</v>
      </c>
      <c r="K10">
        <v>1500</v>
      </c>
      <c r="L10">
        <v>328</v>
      </c>
      <c r="M10">
        <v>158</v>
      </c>
      <c r="N10">
        <v>404</v>
      </c>
      <c r="O10">
        <v>521</v>
      </c>
      <c r="P10">
        <v>2389</v>
      </c>
      <c r="Q10">
        <v>571</v>
      </c>
      <c r="R10">
        <v>440</v>
      </c>
      <c r="S10">
        <v>96</v>
      </c>
      <c r="T10">
        <v>149</v>
      </c>
      <c r="U10">
        <v>2268</v>
      </c>
      <c r="V10">
        <v>3065</v>
      </c>
      <c r="W10">
        <v>2224</v>
      </c>
      <c r="X10">
        <v>693</v>
      </c>
      <c r="Y10">
        <v>335</v>
      </c>
      <c r="Z10">
        <v>2200</v>
      </c>
      <c r="AA10">
        <v>1750</v>
      </c>
      <c r="AB10">
        <v>2000</v>
      </c>
      <c r="AC10">
        <v>2500</v>
      </c>
      <c r="AD10">
        <v>1100</v>
      </c>
      <c r="AE10">
        <v>700</v>
      </c>
      <c r="AF10">
        <v>400</v>
      </c>
      <c r="AG10">
        <v>100</v>
      </c>
      <c r="AH10">
        <v>400</v>
      </c>
      <c r="AI10">
        <v>500</v>
      </c>
      <c r="AJ10">
        <v>700</v>
      </c>
      <c r="AK10">
        <v>475</v>
      </c>
      <c r="AL10" t="s">
        <v>127</v>
      </c>
      <c r="AM10" s="55">
        <v>300</v>
      </c>
      <c r="AN10" s="55">
        <v>345</v>
      </c>
      <c r="AO10" s="55">
        <v>650</v>
      </c>
      <c r="AP10">
        <v>1000</v>
      </c>
      <c r="AQ10">
        <v>500</v>
      </c>
      <c r="AR10">
        <v>400</v>
      </c>
      <c r="AS10">
        <v>200</v>
      </c>
      <c r="AT10">
        <v>750</v>
      </c>
      <c r="AU10">
        <v>750</v>
      </c>
      <c r="AV10">
        <v>1500</v>
      </c>
      <c r="AW10">
        <v>1000</v>
      </c>
      <c r="AX10">
        <v>900</v>
      </c>
      <c r="AY10">
        <v>1500</v>
      </c>
      <c r="AZ10">
        <v>500</v>
      </c>
      <c r="BA10">
        <v>2800</v>
      </c>
      <c r="BB10">
        <v>3000</v>
      </c>
      <c r="BC10">
        <v>3500</v>
      </c>
      <c r="BD10">
        <v>3000</v>
      </c>
      <c r="BE10">
        <v>3000</v>
      </c>
      <c r="BF10">
        <v>3500</v>
      </c>
      <c r="BG10">
        <v>750</v>
      </c>
      <c r="BH10">
        <v>1500</v>
      </c>
      <c r="BI10">
        <v>200</v>
      </c>
      <c r="BJ10">
        <v>200</v>
      </c>
      <c r="BK10">
        <v>200</v>
      </c>
      <c r="BL10">
        <v>200</v>
      </c>
      <c r="BM10">
        <v>750</v>
      </c>
      <c r="BN10">
        <v>75</v>
      </c>
      <c r="BO10">
        <v>3500</v>
      </c>
      <c r="BQ10">
        <f t="shared" si="0"/>
        <v>3500</v>
      </c>
    </row>
    <row r="11" spans="1:69" x14ac:dyDescent="0.3">
      <c r="A11">
        <v>25</v>
      </c>
      <c r="B11" t="s">
        <v>140</v>
      </c>
      <c r="C11" t="s">
        <v>124</v>
      </c>
      <c r="D11">
        <v>2150</v>
      </c>
      <c r="E11">
        <v>850</v>
      </c>
      <c r="F11">
        <v>2500</v>
      </c>
      <c r="G11">
        <v>1580</v>
      </c>
      <c r="H11">
        <v>800</v>
      </c>
      <c r="I11">
        <v>918</v>
      </c>
      <c r="J11" t="s">
        <v>125</v>
      </c>
      <c r="K11" t="s">
        <v>125</v>
      </c>
      <c r="L11" t="s">
        <v>128</v>
      </c>
      <c r="M11" t="s">
        <v>125</v>
      </c>
      <c r="N11" t="s">
        <v>125</v>
      </c>
      <c r="O11">
        <v>1000</v>
      </c>
      <c r="P11">
        <v>3200</v>
      </c>
      <c r="Q11">
        <v>14654</v>
      </c>
      <c r="R11">
        <v>12696</v>
      </c>
      <c r="S11">
        <v>250</v>
      </c>
      <c r="T11">
        <v>500</v>
      </c>
      <c r="U11">
        <v>5038</v>
      </c>
      <c r="V11">
        <v>9250</v>
      </c>
      <c r="W11">
        <v>1874</v>
      </c>
      <c r="X11">
        <v>900</v>
      </c>
      <c r="Y11">
        <v>750</v>
      </c>
      <c r="Z11">
        <v>3500</v>
      </c>
      <c r="AA11">
        <v>1700</v>
      </c>
      <c r="AB11">
        <v>2500</v>
      </c>
      <c r="AC11">
        <v>1000</v>
      </c>
      <c r="AD11">
        <v>1952</v>
      </c>
      <c r="AE11">
        <v>1000</v>
      </c>
      <c r="AF11">
        <v>1000</v>
      </c>
      <c r="AG11">
        <v>600</v>
      </c>
      <c r="AH11">
        <v>1900</v>
      </c>
      <c r="AI11">
        <v>1500</v>
      </c>
      <c r="AJ11">
        <v>1500</v>
      </c>
      <c r="AK11">
        <v>1500</v>
      </c>
      <c r="AL11">
        <v>1000</v>
      </c>
      <c r="AM11" s="55">
        <v>560</v>
      </c>
      <c r="AN11" s="55">
        <v>750</v>
      </c>
      <c r="AO11" s="55">
        <v>803</v>
      </c>
      <c r="AP11">
        <v>3500</v>
      </c>
      <c r="AQ11">
        <v>2000</v>
      </c>
      <c r="AR11">
        <v>25</v>
      </c>
      <c r="AS11">
        <v>400</v>
      </c>
      <c r="AT11">
        <v>750</v>
      </c>
      <c r="AU11">
        <v>3500</v>
      </c>
      <c r="AV11">
        <v>1100</v>
      </c>
      <c r="AW11">
        <v>1300</v>
      </c>
      <c r="AX11">
        <v>750</v>
      </c>
      <c r="AY11">
        <v>1000</v>
      </c>
      <c r="AZ11">
        <v>750</v>
      </c>
      <c r="BA11">
        <v>2000</v>
      </c>
      <c r="BB11">
        <v>1500</v>
      </c>
      <c r="BC11">
        <v>1500</v>
      </c>
      <c r="BD11">
        <v>3500</v>
      </c>
      <c r="BE11">
        <v>1000</v>
      </c>
      <c r="BF11">
        <v>750</v>
      </c>
      <c r="BG11">
        <v>1500</v>
      </c>
      <c r="BH11">
        <v>750</v>
      </c>
      <c r="BI11">
        <v>750</v>
      </c>
      <c r="BJ11">
        <v>200</v>
      </c>
      <c r="BK11">
        <v>200</v>
      </c>
      <c r="BL11">
        <v>400</v>
      </c>
      <c r="BM11">
        <v>1500</v>
      </c>
      <c r="BN11">
        <v>400</v>
      </c>
      <c r="BO11">
        <v>7500</v>
      </c>
      <c r="BQ11">
        <f t="shared" si="0"/>
        <v>9250</v>
      </c>
    </row>
    <row r="12" spans="1:69" x14ac:dyDescent="0.3">
      <c r="A12">
        <v>25</v>
      </c>
      <c r="B12" t="s">
        <v>141</v>
      </c>
      <c r="C12" t="s">
        <v>124</v>
      </c>
      <c r="D12">
        <v>1466</v>
      </c>
      <c r="E12">
        <v>797</v>
      </c>
      <c r="F12">
        <v>303</v>
      </c>
      <c r="G12">
        <v>358</v>
      </c>
      <c r="H12">
        <v>566</v>
      </c>
      <c r="I12">
        <v>392</v>
      </c>
      <c r="J12">
        <v>430</v>
      </c>
      <c r="K12">
        <v>678</v>
      </c>
      <c r="L12">
        <v>214</v>
      </c>
      <c r="M12">
        <v>142</v>
      </c>
      <c r="N12">
        <v>133</v>
      </c>
      <c r="O12">
        <v>325</v>
      </c>
      <c r="P12">
        <v>702</v>
      </c>
      <c r="Q12">
        <v>401</v>
      </c>
      <c r="R12">
        <v>944</v>
      </c>
      <c r="S12">
        <v>394</v>
      </c>
      <c r="T12">
        <v>132</v>
      </c>
      <c r="U12">
        <v>762</v>
      </c>
      <c r="V12">
        <v>344</v>
      </c>
      <c r="W12">
        <v>503</v>
      </c>
      <c r="X12">
        <v>683</v>
      </c>
      <c r="Y12">
        <v>402</v>
      </c>
      <c r="Z12">
        <v>300</v>
      </c>
      <c r="AA12">
        <v>500</v>
      </c>
      <c r="AB12">
        <v>350</v>
      </c>
      <c r="AC12">
        <v>300</v>
      </c>
      <c r="AD12">
        <v>450</v>
      </c>
      <c r="AE12">
        <v>500</v>
      </c>
      <c r="AF12">
        <v>300</v>
      </c>
      <c r="AG12">
        <v>125</v>
      </c>
      <c r="AH12">
        <v>190</v>
      </c>
      <c r="AI12">
        <v>100</v>
      </c>
      <c r="AJ12">
        <v>195</v>
      </c>
      <c r="AK12">
        <v>50</v>
      </c>
      <c r="AL12">
        <v>15</v>
      </c>
      <c r="AM12" s="55" t="s">
        <v>127</v>
      </c>
      <c r="AN12" s="55">
        <v>400</v>
      </c>
      <c r="AO12" s="55">
        <v>200</v>
      </c>
      <c r="AP12">
        <v>60</v>
      </c>
      <c r="AQ12">
        <v>70</v>
      </c>
      <c r="AR12">
        <v>25</v>
      </c>
      <c r="AS12">
        <v>200</v>
      </c>
      <c r="AT12">
        <v>1500</v>
      </c>
      <c r="AU12">
        <v>750</v>
      </c>
      <c r="AV12">
        <v>120</v>
      </c>
      <c r="AW12">
        <v>200</v>
      </c>
      <c r="AX12">
        <v>75</v>
      </c>
      <c r="AY12">
        <v>200</v>
      </c>
      <c r="AZ12">
        <v>75</v>
      </c>
      <c r="BA12">
        <v>75</v>
      </c>
      <c r="BB12">
        <v>400</v>
      </c>
      <c r="BC12">
        <v>750</v>
      </c>
      <c r="BD12">
        <v>750</v>
      </c>
      <c r="BE12">
        <v>400</v>
      </c>
      <c r="BF12">
        <v>75</v>
      </c>
      <c r="BG12">
        <v>75</v>
      </c>
      <c r="BH12">
        <v>25</v>
      </c>
      <c r="BI12">
        <v>25</v>
      </c>
      <c r="BJ12">
        <v>25</v>
      </c>
      <c r="BK12">
        <v>25</v>
      </c>
      <c r="BL12">
        <v>25</v>
      </c>
      <c r="BM12">
        <v>200</v>
      </c>
      <c r="BN12">
        <v>250</v>
      </c>
      <c r="BO12">
        <v>200</v>
      </c>
      <c r="BQ12">
        <f t="shared" si="0"/>
        <v>1500</v>
      </c>
    </row>
    <row r="13" spans="1:69" x14ac:dyDescent="0.3">
      <c r="A13">
        <v>25</v>
      </c>
      <c r="B13" t="s">
        <v>142</v>
      </c>
      <c r="C13" t="s">
        <v>124</v>
      </c>
      <c r="D13">
        <v>106</v>
      </c>
      <c r="E13">
        <v>10</v>
      </c>
      <c r="F13" t="s">
        <v>126</v>
      </c>
      <c r="G13">
        <v>14</v>
      </c>
      <c r="H13">
        <v>21</v>
      </c>
      <c r="I13">
        <v>46</v>
      </c>
      <c r="J13">
        <v>15</v>
      </c>
      <c r="K13">
        <v>35</v>
      </c>
      <c r="L13">
        <v>5</v>
      </c>
      <c r="M13">
        <v>7</v>
      </c>
      <c r="N13" t="s">
        <v>126</v>
      </c>
      <c r="O13">
        <v>26</v>
      </c>
      <c r="P13">
        <v>17</v>
      </c>
      <c r="Q13">
        <v>8</v>
      </c>
      <c r="R13">
        <v>25</v>
      </c>
      <c r="S13">
        <v>15</v>
      </c>
      <c r="T13">
        <v>12</v>
      </c>
      <c r="U13">
        <v>30</v>
      </c>
      <c r="V13">
        <v>96</v>
      </c>
      <c r="W13" t="s">
        <v>126</v>
      </c>
      <c r="X13" t="s">
        <v>126</v>
      </c>
      <c r="Y13" t="s">
        <v>125</v>
      </c>
      <c r="Z13" t="s">
        <v>127</v>
      </c>
      <c r="AA13" t="s">
        <v>126</v>
      </c>
      <c r="AB13" t="s">
        <v>125</v>
      </c>
      <c r="AC13" t="s">
        <v>126</v>
      </c>
      <c r="AD13" t="s">
        <v>127</v>
      </c>
      <c r="AE13" t="s">
        <v>127</v>
      </c>
      <c r="AF13" t="s">
        <v>125</v>
      </c>
      <c r="AG13" t="s">
        <v>127</v>
      </c>
      <c r="AH13" t="s">
        <v>127</v>
      </c>
      <c r="AI13" t="s">
        <v>126</v>
      </c>
      <c r="AJ13" t="s">
        <v>126</v>
      </c>
      <c r="AK13" t="s">
        <v>127</v>
      </c>
      <c r="AL13" t="s">
        <v>127</v>
      </c>
      <c r="AM13" s="55" t="s">
        <v>127</v>
      </c>
      <c r="AN13" s="55" t="s">
        <v>127</v>
      </c>
      <c r="AO13" s="55">
        <v>15</v>
      </c>
      <c r="AP13">
        <v>10</v>
      </c>
      <c r="AQ13">
        <v>10</v>
      </c>
      <c r="AR13">
        <v>25</v>
      </c>
      <c r="AS13">
        <v>25</v>
      </c>
      <c r="AT13">
        <v>25</v>
      </c>
      <c r="AU13">
        <v>25</v>
      </c>
      <c r="AV13">
        <v>25</v>
      </c>
      <c r="AW13">
        <v>25</v>
      </c>
      <c r="AX13">
        <v>25</v>
      </c>
      <c r="AY13">
        <v>25</v>
      </c>
      <c r="AZ13">
        <v>75</v>
      </c>
      <c r="BA13">
        <v>75</v>
      </c>
      <c r="BB13">
        <v>900</v>
      </c>
      <c r="BC13">
        <v>200</v>
      </c>
      <c r="BD13">
        <v>200</v>
      </c>
      <c r="BE13">
        <v>100</v>
      </c>
      <c r="BF13">
        <v>75</v>
      </c>
      <c r="BG13">
        <v>75</v>
      </c>
      <c r="BH13">
        <v>25</v>
      </c>
      <c r="BI13">
        <v>25</v>
      </c>
      <c r="BJ13" t="s">
        <v>126</v>
      </c>
      <c r="BK13" t="s">
        <v>126</v>
      </c>
      <c r="BL13" t="s">
        <v>126</v>
      </c>
      <c r="BM13">
        <v>25</v>
      </c>
      <c r="BN13">
        <v>30</v>
      </c>
      <c r="BO13">
        <v>75</v>
      </c>
      <c r="BQ13">
        <f t="shared" si="0"/>
        <v>900</v>
      </c>
    </row>
    <row r="14" spans="1:69" x14ac:dyDescent="0.3">
      <c r="A14">
        <v>25</v>
      </c>
      <c r="B14" t="s">
        <v>143</v>
      </c>
      <c r="C14" t="s">
        <v>124</v>
      </c>
      <c r="D14">
        <v>258</v>
      </c>
      <c r="E14">
        <v>310</v>
      </c>
      <c r="F14">
        <v>91</v>
      </c>
      <c r="G14">
        <v>545</v>
      </c>
      <c r="H14">
        <v>163</v>
      </c>
      <c r="I14">
        <v>219</v>
      </c>
      <c r="J14">
        <v>380</v>
      </c>
      <c r="K14">
        <v>780</v>
      </c>
      <c r="L14">
        <v>197</v>
      </c>
      <c r="M14">
        <v>131</v>
      </c>
      <c r="N14">
        <v>124</v>
      </c>
      <c r="O14">
        <v>176</v>
      </c>
      <c r="P14">
        <v>808</v>
      </c>
      <c r="Q14">
        <v>656</v>
      </c>
      <c r="R14">
        <v>658</v>
      </c>
      <c r="S14">
        <v>388</v>
      </c>
      <c r="T14">
        <v>1220</v>
      </c>
      <c r="U14">
        <v>1606</v>
      </c>
      <c r="V14">
        <v>519</v>
      </c>
      <c r="W14">
        <v>687</v>
      </c>
      <c r="X14">
        <v>680</v>
      </c>
      <c r="Y14">
        <v>415</v>
      </c>
      <c r="Z14">
        <v>300</v>
      </c>
      <c r="AA14">
        <v>500</v>
      </c>
      <c r="AB14">
        <v>1400</v>
      </c>
      <c r="AC14">
        <v>1400</v>
      </c>
      <c r="AD14">
        <v>232</v>
      </c>
      <c r="AE14">
        <v>500</v>
      </c>
      <c r="AF14">
        <v>125</v>
      </c>
      <c r="AG14">
        <v>20</v>
      </c>
      <c r="AH14">
        <v>60</v>
      </c>
      <c r="AI14">
        <v>50</v>
      </c>
      <c r="AJ14">
        <v>12</v>
      </c>
      <c r="AK14">
        <v>50</v>
      </c>
      <c r="AL14">
        <v>125</v>
      </c>
      <c r="AM14" s="55">
        <v>150</v>
      </c>
      <c r="AN14" s="55" t="s">
        <v>125</v>
      </c>
      <c r="AO14" s="55">
        <v>348</v>
      </c>
      <c r="AP14">
        <v>100</v>
      </c>
      <c r="AQ14">
        <v>150</v>
      </c>
      <c r="AR14">
        <v>200</v>
      </c>
      <c r="AS14">
        <v>75</v>
      </c>
      <c r="AT14">
        <v>750</v>
      </c>
      <c r="AU14">
        <v>750</v>
      </c>
      <c r="AV14">
        <v>75</v>
      </c>
      <c r="AW14">
        <v>200</v>
      </c>
      <c r="AX14">
        <v>125</v>
      </c>
      <c r="AY14">
        <v>25</v>
      </c>
      <c r="AZ14">
        <v>75</v>
      </c>
      <c r="BA14">
        <v>200</v>
      </c>
      <c r="BB14">
        <v>800</v>
      </c>
      <c r="BC14">
        <v>750</v>
      </c>
      <c r="BD14">
        <v>1500</v>
      </c>
      <c r="BE14">
        <v>600</v>
      </c>
      <c r="BF14">
        <v>750</v>
      </c>
      <c r="BG14">
        <v>400</v>
      </c>
      <c r="BH14">
        <v>400</v>
      </c>
      <c r="BI14">
        <v>25</v>
      </c>
      <c r="BJ14">
        <v>200</v>
      </c>
      <c r="BK14">
        <v>200</v>
      </c>
      <c r="BL14">
        <v>25</v>
      </c>
      <c r="BM14">
        <v>75</v>
      </c>
      <c r="BN14">
        <v>100</v>
      </c>
      <c r="BO14">
        <v>1500</v>
      </c>
      <c r="BQ14">
        <f t="shared" si="0"/>
        <v>1606</v>
      </c>
    </row>
    <row r="15" spans="1:69" x14ac:dyDescent="0.3">
      <c r="A15">
        <v>25</v>
      </c>
      <c r="B15" t="s">
        <v>144</v>
      </c>
      <c r="C15" t="s">
        <v>124</v>
      </c>
      <c r="D15">
        <v>376</v>
      </c>
      <c r="E15">
        <v>266</v>
      </c>
      <c r="F15">
        <v>64</v>
      </c>
      <c r="G15">
        <v>284</v>
      </c>
      <c r="H15">
        <v>59</v>
      </c>
      <c r="I15">
        <v>106</v>
      </c>
      <c r="J15">
        <v>120</v>
      </c>
      <c r="K15">
        <v>98</v>
      </c>
      <c r="L15">
        <v>430</v>
      </c>
      <c r="M15">
        <v>421</v>
      </c>
      <c r="N15">
        <v>440</v>
      </c>
      <c r="O15">
        <v>41</v>
      </c>
      <c r="P15">
        <v>393</v>
      </c>
      <c r="Q15">
        <v>69</v>
      </c>
      <c r="R15">
        <v>148</v>
      </c>
      <c r="S15">
        <v>100</v>
      </c>
      <c r="T15">
        <v>55</v>
      </c>
      <c r="U15">
        <v>686</v>
      </c>
      <c r="V15">
        <v>674</v>
      </c>
      <c r="W15">
        <v>862</v>
      </c>
      <c r="X15">
        <v>346</v>
      </c>
      <c r="Y15">
        <v>157</v>
      </c>
      <c r="Z15">
        <v>150</v>
      </c>
      <c r="AA15">
        <v>350</v>
      </c>
      <c r="AB15">
        <v>550</v>
      </c>
      <c r="AC15">
        <v>200</v>
      </c>
      <c r="AD15">
        <v>150</v>
      </c>
      <c r="AE15">
        <v>225</v>
      </c>
      <c r="AF15">
        <v>1</v>
      </c>
      <c r="AG15">
        <v>75</v>
      </c>
      <c r="AH15" t="s">
        <v>126</v>
      </c>
      <c r="AI15" t="s">
        <v>126</v>
      </c>
      <c r="AJ15">
        <v>20</v>
      </c>
      <c r="AK15">
        <v>27</v>
      </c>
      <c r="AL15">
        <v>100</v>
      </c>
      <c r="AM15" s="55">
        <v>100</v>
      </c>
      <c r="AN15" s="55">
        <v>50</v>
      </c>
      <c r="AO15" s="55">
        <v>100</v>
      </c>
      <c r="AP15">
        <v>200</v>
      </c>
      <c r="AQ15">
        <v>100</v>
      </c>
      <c r="AR15">
        <v>25</v>
      </c>
      <c r="AS15">
        <v>200</v>
      </c>
      <c r="AT15">
        <v>25</v>
      </c>
      <c r="AU15">
        <v>75</v>
      </c>
      <c r="AV15">
        <v>25</v>
      </c>
      <c r="AW15">
        <v>25</v>
      </c>
      <c r="AX15">
        <v>50</v>
      </c>
      <c r="AY15">
        <v>25</v>
      </c>
      <c r="AZ15">
        <v>25</v>
      </c>
      <c r="BA15">
        <v>75</v>
      </c>
      <c r="BB15">
        <v>750</v>
      </c>
      <c r="BC15">
        <v>400</v>
      </c>
      <c r="BD15">
        <v>400</v>
      </c>
      <c r="BE15">
        <v>25</v>
      </c>
      <c r="BF15">
        <v>75</v>
      </c>
      <c r="BG15">
        <v>25</v>
      </c>
      <c r="BH15">
        <v>75</v>
      </c>
      <c r="BI15">
        <v>200</v>
      </c>
      <c r="BJ15">
        <v>75</v>
      </c>
      <c r="BK15">
        <v>75</v>
      </c>
      <c r="BL15">
        <v>75</v>
      </c>
      <c r="BM15">
        <v>25</v>
      </c>
      <c r="BN15">
        <v>100</v>
      </c>
      <c r="BO15">
        <v>400</v>
      </c>
      <c r="BQ15">
        <f t="shared" si="0"/>
        <v>862</v>
      </c>
    </row>
    <row r="16" spans="1:69" x14ac:dyDescent="0.3">
      <c r="A16">
        <v>26</v>
      </c>
      <c r="B16" t="s">
        <v>145</v>
      </c>
      <c r="C16" t="s">
        <v>124</v>
      </c>
      <c r="D16">
        <v>160</v>
      </c>
      <c r="E16">
        <v>1113</v>
      </c>
      <c r="F16">
        <v>91</v>
      </c>
      <c r="G16">
        <v>399</v>
      </c>
      <c r="H16">
        <v>141</v>
      </c>
      <c r="I16">
        <v>95</v>
      </c>
      <c r="J16">
        <v>110</v>
      </c>
      <c r="K16">
        <v>214</v>
      </c>
      <c r="L16">
        <v>200</v>
      </c>
      <c r="M16">
        <v>162</v>
      </c>
      <c r="N16">
        <v>228</v>
      </c>
      <c r="O16">
        <v>199</v>
      </c>
      <c r="P16">
        <v>454</v>
      </c>
      <c r="Q16">
        <v>379</v>
      </c>
      <c r="R16">
        <v>41</v>
      </c>
      <c r="S16">
        <v>139</v>
      </c>
      <c r="T16">
        <v>75</v>
      </c>
      <c r="U16">
        <v>539</v>
      </c>
      <c r="V16">
        <v>300</v>
      </c>
      <c r="W16">
        <v>402</v>
      </c>
      <c r="X16">
        <v>53</v>
      </c>
      <c r="Y16">
        <v>90</v>
      </c>
      <c r="Z16">
        <v>100</v>
      </c>
      <c r="AA16">
        <v>10</v>
      </c>
      <c r="AB16">
        <v>10</v>
      </c>
      <c r="AC16">
        <v>20</v>
      </c>
      <c r="AD16">
        <v>50</v>
      </c>
      <c r="AE16">
        <v>40</v>
      </c>
      <c r="AF16" t="s">
        <v>127</v>
      </c>
      <c r="AG16">
        <v>100</v>
      </c>
      <c r="AH16">
        <v>100</v>
      </c>
      <c r="AI16">
        <v>400</v>
      </c>
      <c r="AJ16">
        <v>650</v>
      </c>
      <c r="AK16" t="s">
        <v>125</v>
      </c>
      <c r="AL16">
        <v>100</v>
      </c>
      <c r="AM16" s="55">
        <v>500</v>
      </c>
      <c r="AN16" s="55">
        <v>100</v>
      </c>
      <c r="AO16" s="55">
        <v>40</v>
      </c>
      <c r="AP16" t="s">
        <v>126</v>
      </c>
      <c r="AQ16">
        <v>60</v>
      </c>
      <c r="AR16">
        <v>25</v>
      </c>
      <c r="AS16">
        <v>25</v>
      </c>
      <c r="AT16">
        <v>200</v>
      </c>
      <c r="AU16">
        <v>750</v>
      </c>
      <c r="AV16">
        <v>400</v>
      </c>
      <c r="AW16">
        <v>200</v>
      </c>
      <c r="AX16">
        <v>200</v>
      </c>
      <c r="AY16">
        <v>200</v>
      </c>
      <c r="AZ16">
        <v>25</v>
      </c>
      <c r="BA16">
        <v>25</v>
      </c>
      <c r="BB16">
        <v>3500</v>
      </c>
      <c r="BC16">
        <v>400</v>
      </c>
      <c r="BD16">
        <v>25</v>
      </c>
      <c r="BE16">
        <v>750</v>
      </c>
      <c r="BF16">
        <v>200</v>
      </c>
      <c r="BG16">
        <v>400</v>
      </c>
      <c r="BH16">
        <v>750</v>
      </c>
      <c r="BI16">
        <v>200</v>
      </c>
      <c r="BJ16">
        <v>3500</v>
      </c>
      <c r="BK16">
        <v>400</v>
      </c>
      <c r="BL16">
        <v>400</v>
      </c>
      <c r="BM16">
        <v>750</v>
      </c>
      <c r="BN16">
        <v>750</v>
      </c>
      <c r="BO16">
        <v>1500</v>
      </c>
      <c r="BQ16">
        <f t="shared" si="0"/>
        <v>3500</v>
      </c>
    </row>
    <row r="17" spans="1:69" x14ac:dyDescent="0.3">
      <c r="A17">
        <v>26</v>
      </c>
      <c r="B17" t="s">
        <v>146</v>
      </c>
      <c r="C17" t="s">
        <v>124</v>
      </c>
      <c r="D17">
        <v>370</v>
      </c>
      <c r="E17">
        <v>331</v>
      </c>
      <c r="F17">
        <v>192</v>
      </c>
      <c r="G17">
        <v>240</v>
      </c>
      <c r="H17">
        <v>223</v>
      </c>
      <c r="I17">
        <v>302</v>
      </c>
      <c r="J17">
        <v>185</v>
      </c>
      <c r="K17">
        <v>550</v>
      </c>
      <c r="L17">
        <v>264</v>
      </c>
      <c r="M17">
        <v>193</v>
      </c>
      <c r="N17">
        <v>536</v>
      </c>
      <c r="O17">
        <v>488</v>
      </c>
      <c r="P17">
        <v>301</v>
      </c>
      <c r="Q17">
        <v>358</v>
      </c>
      <c r="R17">
        <v>251</v>
      </c>
      <c r="S17">
        <v>409</v>
      </c>
      <c r="T17">
        <v>105</v>
      </c>
      <c r="U17">
        <v>453</v>
      </c>
      <c r="V17">
        <v>824</v>
      </c>
      <c r="W17">
        <v>558</v>
      </c>
      <c r="X17">
        <v>219</v>
      </c>
      <c r="Y17">
        <v>266</v>
      </c>
      <c r="Z17">
        <v>150</v>
      </c>
      <c r="AA17">
        <v>20</v>
      </c>
      <c r="AB17" t="s">
        <v>126</v>
      </c>
      <c r="AC17">
        <v>20</v>
      </c>
      <c r="AD17">
        <v>10</v>
      </c>
      <c r="AE17">
        <v>30</v>
      </c>
      <c r="AF17" t="s">
        <v>126</v>
      </c>
      <c r="AG17">
        <v>100</v>
      </c>
      <c r="AH17">
        <v>100</v>
      </c>
      <c r="AI17">
        <v>300</v>
      </c>
      <c r="AJ17">
        <v>400</v>
      </c>
      <c r="AK17">
        <v>300</v>
      </c>
      <c r="AL17" t="s">
        <v>127</v>
      </c>
      <c r="AM17" s="55">
        <v>100</v>
      </c>
      <c r="AN17" s="55" t="s">
        <v>127</v>
      </c>
      <c r="AO17" s="55">
        <v>60</v>
      </c>
      <c r="AP17">
        <v>50</v>
      </c>
      <c r="AQ17">
        <v>75</v>
      </c>
      <c r="AR17">
        <v>25</v>
      </c>
      <c r="AS17">
        <v>75</v>
      </c>
      <c r="AT17">
        <v>200</v>
      </c>
      <c r="AU17">
        <v>1500</v>
      </c>
      <c r="AV17">
        <v>300</v>
      </c>
      <c r="AW17">
        <v>750</v>
      </c>
      <c r="AX17">
        <v>750</v>
      </c>
      <c r="AY17">
        <v>750</v>
      </c>
      <c r="AZ17">
        <v>750</v>
      </c>
      <c r="BA17">
        <v>400</v>
      </c>
      <c r="BB17">
        <v>3500</v>
      </c>
      <c r="BC17">
        <v>400</v>
      </c>
      <c r="BD17">
        <v>1500</v>
      </c>
      <c r="BE17">
        <v>400</v>
      </c>
      <c r="BF17">
        <v>400</v>
      </c>
      <c r="BG17">
        <v>200</v>
      </c>
      <c r="BH17">
        <v>75</v>
      </c>
      <c r="BI17">
        <v>75</v>
      </c>
      <c r="BJ17">
        <v>200</v>
      </c>
      <c r="BK17">
        <v>750</v>
      </c>
      <c r="BL17">
        <v>400</v>
      </c>
      <c r="BM17">
        <v>750</v>
      </c>
      <c r="BN17">
        <v>750</v>
      </c>
      <c r="BO17">
        <v>750</v>
      </c>
      <c r="BQ17">
        <f t="shared" si="0"/>
        <v>3500</v>
      </c>
    </row>
    <row r="18" spans="1:69" x14ac:dyDescent="0.3">
      <c r="A18">
        <v>26</v>
      </c>
      <c r="B18" t="s">
        <v>147</v>
      </c>
      <c r="C18" t="s">
        <v>124</v>
      </c>
      <c r="D18">
        <v>615</v>
      </c>
      <c r="E18">
        <v>768</v>
      </c>
      <c r="F18">
        <v>653</v>
      </c>
      <c r="G18">
        <v>350</v>
      </c>
      <c r="H18">
        <v>138</v>
      </c>
      <c r="I18">
        <v>263</v>
      </c>
      <c r="J18">
        <v>355</v>
      </c>
      <c r="K18">
        <v>80</v>
      </c>
      <c r="L18">
        <v>380</v>
      </c>
      <c r="M18">
        <v>234</v>
      </c>
      <c r="N18">
        <v>76</v>
      </c>
      <c r="O18">
        <v>121</v>
      </c>
      <c r="P18">
        <v>495</v>
      </c>
      <c r="Q18">
        <v>440</v>
      </c>
      <c r="R18">
        <v>308</v>
      </c>
      <c r="S18">
        <v>237</v>
      </c>
      <c r="T18">
        <v>391</v>
      </c>
      <c r="U18">
        <v>879</v>
      </c>
      <c r="V18">
        <v>1430</v>
      </c>
      <c r="W18">
        <v>523</v>
      </c>
      <c r="X18">
        <v>288</v>
      </c>
      <c r="Y18">
        <v>600</v>
      </c>
      <c r="Z18">
        <v>250</v>
      </c>
      <c r="AA18">
        <v>250</v>
      </c>
      <c r="AB18">
        <v>600</v>
      </c>
      <c r="AC18">
        <v>120</v>
      </c>
      <c r="AD18">
        <v>200</v>
      </c>
      <c r="AE18">
        <v>450</v>
      </c>
      <c r="AF18">
        <v>400</v>
      </c>
      <c r="AG18">
        <v>500</v>
      </c>
      <c r="AH18">
        <v>1000</v>
      </c>
      <c r="AI18">
        <v>1200</v>
      </c>
      <c r="AJ18">
        <v>1500</v>
      </c>
      <c r="AK18">
        <v>500</v>
      </c>
      <c r="AL18">
        <v>1000</v>
      </c>
      <c r="AM18" s="55">
        <v>1000</v>
      </c>
      <c r="AN18" s="55">
        <v>200</v>
      </c>
      <c r="AO18" s="55">
        <v>200</v>
      </c>
      <c r="AP18">
        <v>50</v>
      </c>
      <c r="AQ18">
        <v>100</v>
      </c>
      <c r="AR18">
        <v>25</v>
      </c>
      <c r="AS18">
        <v>25</v>
      </c>
      <c r="AT18">
        <v>1500</v>
      </c>
      <c r="AU18">
        <v>1500</v>
      </c>
      <c r="AV18">
        <v>750</v>
      </c>
      <c r="AW18">
        <v>750</v>
      </c>
      <c r="AX18">
        <v>1500</v>
      </c>
      <c r="AY18">
        <v>750</v>
      </c>
      <c r="AZ18">
        <v>1500</v>
      </c>
      <c r="BA18">
        <v>750</v>
      </c>
      <c r="BB18">
        <v>1500</v>
      </c>
      <c r="BC18">
        <v>25</v>
      </c>
      <c r="BD18">
        <v>1500</v>
      </c>
      <c r="BE18">
        <v>3500</v>
      </c>
      <c r="BF18">
        <v>750</v>
      </c>
      <c r="BG18">
        <v>400</v>
      </c>
      <c r="BH18">
        <v>750</v>
      </c>
      <c r="BI18">
        <v>200</v>
      </c>
      <c r="BJ18">
        <v>1500</v>
      </c>
      <c r="BK18">
        <v>3500</v>
      </c>
      <c r="BL18">
        <v>3500</v>
      </c>
      <c r="BM18">
        <v>3500</v>
      </c>
      <c r="BN18">
        <v>3500</v>
      </c>
      <c r="BO18">
        <v>3500</v>
      </c>
      <c r="BQ18">
        <f t="shared" si="0"/>
        <v>3500</v>
      </c>
    </row>
    <row r="19" spans="1:69" x14ac:dyDescent="0.3">
      <c r="A19">
        <v>27</v>
      </c>
      <c r="B19" t="s">
        <v>148</v>
      </c>
      <c r="C19" t="s">
        <v>124</v>
      </c>
      <c r="D19">
        <v>398</v>
      </c>
      <c r="E19">
        <v>586</v>
      </c>
      <c r="F19">
        <v>348</v>
      </c>
      <c r="G19">
        <v>98</v>
      </c>
      <c r="H19">
        <v>93</v>
      </c>
      <c r="I19">
        <v>409</v>
      </c>
      <c r="J19">
        <v>520</v>
      </c>
      <c r="K19">
        <v>630</v>
      </c>
      <c r="L19">
        <v>155</v>
      </c>
      <c r="M19">
        <v>168</v>
      </c>
      <c r="N19">
        <v>321</v>
      </c>
      <c r="P19">
        <v>1369</v>
      </c>
      <c r="Q19">
        <v>600</v>
      </c>
      <c r="R19">
        <v>383</v>
      </c>
      <c r="S19">
        <v>571</v>
      </c>
      <c r="T19">
        <v>530</v>
      </c>
      <c r="U19">
        <v>883</v>
      </c>
      <c r="V19">
        <v>171</v>
      </c>
      <c r="W19">
        <v>36</v>
      </c>
      <c r="X19">
        <v>70</v>
      </c>
      <c r="Y19">
        <v>75</v>
      </c>
      <c r="AM19" s="55"/>
      <c r="AN19" s="55"/>
      <c r="AO19" s="55"/>
      <c r="BQ19">
        <f t="shared" si="0"/>
        <v>883</v>
      </c>
    </row>
    <row r="20" spans="1:69" x14ac:dyDescent="0.3">
      <c r="A20">
        <v>27</v>
      </c>
      <c r="B20" t="s">
        <v>149</v>
      </c>
      <c r="C20" t="s">
        <v>124</v>
      </c>
      <c r="D20">
        <v>1606</v>
      </c>
      <c r="E20">
        <v>6516</v>
      </c>
      <c r="F20">
        <v>1185</v>
      </c>
      <c r="G20">
        <v>2081</v>
      </c>
      <c r="H20">
        <v>2364</v>
      </c>
      <c r="I20">
        <v>3905</v>
      </c>
      <c r="J20">
        <v>3560</v>
      </c>
      <c r="K20">
        <v>3440</v>
      </c>
      <c r="L20">
        <v>2298</v>
      </c>
      <c r="M20">
        <v>2764</v>
      </c>
      <c r="N20">
        <v>3071</v>
      </c>
      <c r="O20">
        <v>2337</v>
      </c>
      <c r="P20">
        <v>3658</v>
      </c>
      <c r="Q20">
        <v>1554</v>
      </c>
      <c r="R20">
        <v>1958</v>
      </c>
      <c r="S20">
        <v>1450</v>
      </c>
      <c r="T20">
        <v>2282</v>
      </c>
      <c r="U20">
        <v>3985</v>
      </c>
      <c r="V20">
        <v>4821</v>
      </c>
      <c r="W20">
        <v>2424</v>
      </c>
      <c r="X20">
        <v>3655</v>
      </c>
      <c r="Y20">
        <v>1386</v>
      </c>
      <c r="Z20">
        <v>650</v>
      </c>
      <c r="AA20">
        <v>2000</v>
      </c>
      <c r="AB20">
        <v>800</v>
      </c>
      <c r="AC20">
        <v>710</v>
      </c>
      <c r="AD20">
        <v>1973</v>
      </c>
      <c r="AE20">
        <v>4181</v>
      </c>
      <c r="AF20">
        <v>3275</v>
      </c>
      <c r="AG20">
        <v>1750</v>
      </c>
      <c r="AH20">
        <v>1100</v>
      </c>
      <c r="AI20">
        <v>1250</v>
      </c>
      <c r="AJ20">
        <v>600</v>
      </c>
      <c r="AK20">
        <v>1000</v>
      </c>
      <c r="AL20">
        <v>5000</v>
      </c>
      <c r="AM20" s="55">
        <v>3000</v>
      </c>
      <c r="AN20" s="55">
        <v>5000</v>
      </c>
      <c r="AO20" s="55">
        <v>750</v>
      </c>
      <c r="AP20">
        <v>1500</v>
      </c>
      <c r="AQ20">
        <v>950</v>
      </c>
      <c r="AR20">
        <v>400</v>
      </c>
      <c r="AS20">
        <v>400</v>
      </c>
      <c r="AT20">
        <v>400</v>
      </c>
      <c r="AU20">
        <v>200</v>
      </c>
      <c r="AV20">
        <v>600</v>
      </c>
      <c r="AW20">
        <v>600</v>
      </c>
      <c r="AX20">
        <v>400</v>
      </c>
      <c r="AY20">
        <v>200</v>
      </c>
      <c r="AZ20">
        <v>200</v>
      </c>
      <c r="BA20">
        <v>200</v>
      </c>
      <c r="BB20">
        <v>200</v>
      </c>
      <c r="BC20">
        <v>200</v>
      </c>
      <c r="BD20">
        <v>3000</v>
      </c>
      <c r="BE20">
        <v>400</v>
      </c>
      <c r="BF20">
        <v>1500</v>
      </c>
      <c r="BG20">
        <v>200</v>
      </c>
      <c r="BH20">
        <v>40</v>
      </c>
      <c r="BI20">
        <v>250</v>
      </c>
      <c r="BJ20">
        <v>100</v>
      </c>
      <c r="BK20">
        <v>3500</v>
      </c>
      <c r="BL20">
        <v>5000</v>
      </c>
      <c r="BM20">
        <v>2000</v>
      </c>
      <c r="BN20">
        <v>7500</v>
      </c>
      <c r="BO20" t="s">
        <v>125</v>
      </c>
      <c r="BQ20">
        <f t="shared" si="0"/>
        <v>7500</v>
      </c>
    </row>
    <row r="21" spans="1:69" x14ac:dyDescent="0.3">
      <c r="AM21" s="56"/>
      <c r="AN21" s="56"/>
      <c r="AO21" s="56"/>
    </row>
    <row r="22" spans="1:69" x14ac:dyDescent="0.3">
      <c r="D22" s="56">
        <f t="shared" ref="D22:AL22" si="1">SUM(D3:D20)</f>
        <v>23259</v>
      </c>
      <c r="E22" s="56">
        <f t="shared" si="1"/>
        <v>23540</v>
      </c>
      <c r="F22" s="56">
        <f t="shared" si="1"/>
        <v>13288</v>
      </c>
      <c r="G22" s="56">
        <f t="shared" si="1"/>
        <v>17817</v>
      </c>
      <c r="H22" s="56">
        <f t="shared" si="1"/>
        <v>8634</v>
      </c>
      <c r="I22" s="56">
        <f t="shared" si="1"/>
        <v>11340</v>
      </c>
      <c r="J22" s="56">
        <f t="shared" si="1"/>
        <v>10926</v>
      </c>
      <c r="K22" s="56">
        <f t="shared" si="1"/>
        <v>11805</v>
      </c>
      <c r="L22" s="56">
        <f t="shared" si="1"/>
        <v>6686</v>
      </c>
      <c r="M22" s="56">
        <f t="shared" si="1"/>
        <v>7765</v>
      </c>
      <c r="N22" s="56">
        <f t="shared" si="1"/>
        <v>13020</v>
      </c>
      <c r="O22" s="56">
        <f t="shared" si="1"/>
        <v>8144</v>
      </c>
      <c r="P22" s="56">
        <f t="shared" si="1"/>
        <v>23284</v>
      </c>
      <c r="Q22" s="56">
        <f t="shared" si="1"/>
        <v>26795</v>
      </c>
      <c r="R22" s="56">
        <f t="shared" si="1"/>
        <v>22116</v>
      </c>
      <c r="S22" s="56">
        <f t="shared" si="1"/>
        <v>8324</v>
      </c>
      <c r="T22" s="56">
        <f t="shared" si="1"/>
        <v>8122</v>
      </c>
      <c r="U22" s="56">
        <f t="shared" si="1"/>
        <v>20877</v>
      </c>
      <c r="V22" s="56">
        <f t="shared" si="1"/>
        <v>29935</v>
      </c>
      <c r="W22" s="56">
        <f t="shared" si="1"/>
        <v>14176</v>
      </c>
      <c r="X22" s="56">
        <f t="shared" si="1"/>
        <v>10595</v>
      </c>
      <c r="Y22" s="56">
        <f t="shared" si="1"/>
        <v>6353</v>
      </c>
      <c r="Z22" s="56">
        <f t="shared" si="1"/>
        <v>11111</v>
      </c>
      <c r="AA22" s="56">
        <f t="shared" si="1"/>
        <v>10494</v>
      </c>
      <c r="AB22" s="56">
        <f t="shared" si="1"/>
        <v>9760</v>
      </c>
      <c r="AC22" s="56">
        <f t="shared" si="1"/>
        <v>8424</v>
      </c>
      <c r="AD22" s="56">
        <f t="shared" si="1"/>
        <v>7442</v>
      </c>
      <c r="AE22" s="56">
        <f t="shared" si="1"/>
        <v>8960</v>
      </c>
      <c r="AF22" s="56">
        <f t="shared" si="1"/>
        <v>7381</v>
      </c>
      <c r="AG22" s="56">
        <f t="shared" si="1"/>
        <v>4002</v>
      </c>
      <c r="AH22" s="56">
        <f t="shared" si="1"/>
        <v>6031</v>
      </c>
      <c r="AI22" s="56">
        <f t="shared" si="1"/>
        <v>6001</v>
      </c>
      <c r="AJ22" s="56">
        <f t="shared" si="1"/>
        <v>6902</v>
      </c>
      <c r="AK22" s="56">
        <f t="shared" si="1"/>
        <v>4924</v>
      </c>
      <c r="AL22" s="56">
        <f t="shared" si="1"/>
        <v>8785</v>
      </c>
      <c r="AM22" s="56">
        <f>SUM(AM3:AM20)</f>
        <v>7070</v>
      </c>
      <c r="AN22" s="56">
        <f t="shared" ref="AN22:BQ22" si="2">SUM(AN3:AN20)</f>
        <v>8055</v>
      </c>
      <c r="AO22" s="56">
        <f t="shared" si="2"/>
        <v>4226</v>
      </c>
      <c r="AP22" s="56">
        <f t="shared" si="2"/>
        <v>6861</v>
      </c>
      <c r="AQ22" s="56">
        <f t="shared" si="2"/>
        <v>5055</v>
      </c>
      <c r="AR22" s="56">
        <f t="shared" si="2"/>
        <v>2375</v>
      </c>
      <c r="AS22" s="56">
        <f t="shared" si="2"/>
        <v>3050</v>
      </c>
      <c r="AT22" s="56">
        <f t="shared" si="2"/>
        <v>8300</v>
      </c>
      <c r="AU22" s="56">
        <f t="shared" si="2"/>
        <v>14475</v>
      </c>
      <c r="AV22" s="56">
        <f t="shared" si="2"/>
        <v>9820</v>
      </c>
      <c r="AW22" s="56">
        <f t="shared" si="2"/>
        <v>7625</v>
      </c>
      <c r="AX22" s="56">
        <f t="shared" si="2"/>
        <v>13500</v>
      </c>
      <c r="AY22" s="56">
        <f t="shared" si="2"/>
        <v>6350</v>
      </c>
      <c r="AZ22" s="56">
        <f t="shared" si="2"/>
        <v>6010</v>
      </c>
      <c r="BA22" s="56">
        <f t="shared" si="2"/>
        <v>8050</v>
      </c>
      <c r="BB22" s="56">
        <f t="shared" si="2"/>
        <v>19525</v>
      </c>
      <c r="BC22" s="56">
        <f t="shared" si="2"/>
        <v>10185</v>
      </c>
      <c r="BD22" s="56">
        <f t="shared" si="2"/>
        <v>18250</v>
      </c>
      <c r="BE22" s="56">
        <f t="shared" si="2"/>
        <v>12975</v>
      </c>
      <c r="BF22" s="56">
        <f t="shared" si="2"/>
        <v>10425</v>
      </c>
      <c r="BG22" s="56">
        <f t="shared" si="2"/>
        <v>7875</v>
      </c>
      <c r="BH22" s="56">
        <f t="shared" si="2"/>
        <v>9090</v>
      </c>
      <c r="BI22" s="56">
        <f t="shared" si="2"/>
        <v>6850</v>
      </c>
      <c r="BJ22" s="56">
        <f t="shared" si="2"/>
        <v>9050</v>
      </c>
      <c r="BK22" s="56">
        <f t="shared" si="2"/>
        <v>12650</v>
      </c>
      <c r="BL22" s="56">
        <f t="shared" si="2"/>
        <v>14000</v>
      </c>
      <c r="BM22" s="56">
        <f t="shared" si="2"/>
        <v>16475</v>
      </c>
      <c r="BN22" s="56">
        <f t="shared" si="2"/>
        <v>20355</v>
      </c>
      <c r="BO22" s="56">
        <f t="shared" si="2"/>
        <v>26575</v>
      </c>
      <c r="BP22" s="56"/>
      <c r="BQ22" s="56">
        <f t="shared" si="2"/>
        <v>54291</v>
      </c>
    </row>
    <row r="23" spans="1:69" x14ac:dyDescent="0.3">
      <c r="AM23" s="56"/>
      <c r="AN23" s="56"/>
      <c r="AO23" s="56"/>
    </row>
    <row r="24" spans="1:69" x14ac:dyDescent="0.3">
      <c r="AM24" s="56"/>
      <c r="AN24" s="56"/>
      <c r="AO24" s="56"/>
    </row>
    <row r="25" spans="1:69" x14ac:dyDescent="0.3">
      <c r="AM25" s="56"/>
      <c r="AN25" s="56"/>
      <c r="AO25" s="56"/>
    </row>
    <row r="26" spans="1:69" x14ac:dyDescent="0.3">
      <c r="A26">
        <v>23</v>
      </c>
      <c r="B26" t="s">
        <v>133</v>
      </c>
      <c r="C26" t="s">
        <v>124</v>
      </c>
      <c r="D26">
        <v>47045</v>
      </c>
      <c r="E26">
        <v>55711</v>
      </c>
      <c r="F26">
        <v>18204</v>
      </c>
      <c r="G26">
        <v>28872</v>
      </c>
      <c r="H26">
        <v>15063</v>
      </c>
      <c r="I26">
        <v>26419</v>
      </c>
      <c r="J26">
        <v>36032</v>
      </c>
      <c r="K26">
        <v>21018</v>
      </c>
      <c r="L26">
        <v>28619</v>
      </c>
      <c r="M26">
        <v>18708</v>
      </c>
      <c r="N26">
        <v>63479</v>
      </c>
      <c r="O26">
        <v>37643</v>
      </c>
      <c r="P26">
        <v>88999</v>
      </c>
      <c r="Q26">
        <v>36246</v>
      </c>
      <c r="R26">
        <v>24714</v>
      </c>
      <c r="S26">
        <v>16395</v>
      </c>
      <c r="T26">
        <v>3543</v>
      </c>
      <c r="U26">
        <v>16860</v>
      </c>
      <c r="V26">
        <v>45752</v>
      </c>
      <c r="W26">
        <v>13500</v>
      </c>
      <c r="X26">
        <v>9995</v>
      </c>
      <c r="Y26">
        <v>23312</v>
      </c>
      <c r="Z26">
        <v>46604</v>
      </c>
      <c r="AA26">
        <v>76486</v>
      </c>
      <c r="AB26">
        <v>117249</v>
      </c>
      <c r="AC26">
        <v>85844</v>
      </c>
      <c r="AD26">
        <v>76064</v>
      </c>
      <c r="AE26">
        <v>44786</v>
      </c>
      <c r="AF26">
        <v>54305</v>
      </c>
      <c r="AG26">
        <v>14490</v>
      </c>
      <c r="AH26">
        <v>29306</v>
      </c>
      <c r="AI26">
        <v>74279</v>
      </c>
      <c r="AJ26">
        <v>6500</v>
      </c>
      <c r="AK26">
        <v>11000</v>
      </c>
      <c r="AL26">
        <v>8474</v>
      </c>
      <c r="AM26" s="55">
        <v>7500</v>
      </c>
      <c r="AN26" s="55">
        <v>4000</v>
      </c>
      <c r="AO26" s="55">
        <v>10200</v>
      </c>
      <c r="AP26">
        <v>9000</v>
      </c>
      <c r="AQ26">
        <v>12300</v>
      </c>
      <c r="AR26">
        <v>13000</v>
      </c>
      <c r="AS26">
        <v>15000</v>
      </c>
      <c r="AT26">
        <v>12500</v>
      </c>
      <c r="AU26">
        <v>11000</v>
      </c>
      <c r="AV26">
        <v>9000</v>
      </c>
      <c r="AW26">
        <v>13500</v>
      </c>
      <c r="AX26">
        <v>8500</v>
      </c>
      <c r="AY26">
        <v>13000</v>
      </c>
      <c r="AZ26">
        <v>12500</v>
      </c>
      <c r="BA26">
        <v>15000</v>
      </c>
      <c r="BB26">
        <v>7500</v>
      </c>
      <c r="BC26">
        <v>7500</v>
      </c>
      <c r="BD26">
        <v>15000</v>
      </c>
      <c r="BE26">
        <v>7500</v>
      </c>
      <c r="BF26">
        <v>7500</v>
      </c>
      <c r="BG26">
        <v>7500</v>
      </c>
      <c r="BH26">
        <v>7500</v>
      </c>
      <c r="BI26">
        <v>7500</v>
      </c>
      <c r="BJ26">
        <v>15000</v>
      </c>
      <c r="BK26">
        <v>7500</v>
      </c>
      <c r="BL26">
        <v>15000</v>
      </c>
      <c r="BM26">
        <v>7500</v>
      </c>
      <c r="BN26">
        <v>7500</v>
      </c>
      <c r="BO26">
        <v>7500</v>
      </c>
    </row>
    <row r="27" spans="1:69" x14ac:dyDescent="0.3">
      <c r="A27">
        <v>25</v>
      </c>
      <c r="B27" t="s">
        <v>139</v>
      </c>
      <c r="C27" t="s">
        <v>124</v>
      </c>
      <c r="D27">
        <v>30387</v>
      </c>
      <c r="E27">
        <v>38178</v>
      </c>
      <c r="F27">
        <v>15000</v>
      </c>
      <c r="G27">
        <v>60760</v>
      </c>
      <c r="H27">
        <v>4875</v>
      </c>
      <c r="I27">
        <v>21276</v>
      </c>
      <c r="J27">
        <v>14940</v>
      </c>
      <c r="K27">
        <v>17000</v>
      </c>
      <c r="L27">
        <v>11786</v>
      </c>
      <c r="M27">
        <v>7736</v>
      </c>
      <c r="N27">
        <v>22030</v>
      </c>
      <c r="O27">
        <v>5831</v>
      </c>
      <c r="P27">
        <v>41053</v>
      </c>
      <c r="Q27">
        <v>32915</v>
      </c>
      <c r="R27">
        <v>26210</v>
      </c>
      <c r="S27">
        <v>14873</v>
      </c>
      <c r="T27">
        <v>8645</v>
      </c>
      <c r="U27">
        <v>14195</v>
      </c>
      <c r="V27">
        <v>21865</v>
      </c>
      <c r="W27">
        <v>18992</v>
      </c>
      <c r="X27">
        <v>16313</v>
      </c>
      <c r="Y27">
        <v>21928</v>
      </c>
      <c r="Z27">
        <v>20000</v>
      </c>
      <c r="AA27">
        <v>11500</v>
      </c>
      <c r="AB27">
        <v>22000</v>
      </c>
      <c r="AC27">
        <v>15000</v>
      </c>
      <c r="AD27">
        <v>10700</v>
      </c>
      <c r="AE27">
        <v>7000</v>
      </c>
      <c r="AF27">
        <v>3000</v>
      </c>
      <c r="AG27">
        <v>200</v>
      </c>
      <c r="AH27">
        <v>210</v>
      </c>
      <c r="AI27">
        <v>800</v>
      </c>
      <c r="AJ27">
        <v>718</v>
      </c>
      <c r="AK27">
        <v>300</v>
      </c>
      <c r="AL27">
        <v>500</v>
      </c>
      <c r="AM27" s="55">
        <v>300</v>
      </c>
      <c r="AN27" s="55">
        <v>500</v>
      </c>
      <c r="AO27" s="55">
        <v>120</v>
      </c>
      <c r="AP27">
        <v>500</v>
      </c>
      <c r="AQ27">
        <v>120</v>
      </c>
      <c r="AR27">
        <v>400</v>
      </c>
      <c r="AS27">
        <v>75</v>
      </c>
      <c r="AT27">
        <v>200</v>
      </c>
      <c r="AU27">
        <v>400</v>
      </c>
      <c r="AV27">
        <v>1500</v>
      </c>
      <c r="AW27">
        <v>900</v>
      </c>
      <c r="AX27">
        <v>700</v>
      </c>
      <c r="AY27">
        <v>400</v>
      </c>
      <c r="AZ27">
        <v>750</v>
      </c>
      <c r="BA27">
        <v>1000</v>
      </c>
      <c r="BB27">
        <v>1800</v>
      </c>
      <c r="BC27">
        <v>3500</v>
      </c>
      <c r="BD27">
        <v>300</v>
      </c>
      <c r="BE27">
        <v>1000</v>
      </c>
      <c r="BF27">
        <v>400</v>
      </c>
      <c r="BG27">
        <v>200</v>
      </c>
      <c r="BH27">
        <v>750</v>
      </c>
      <c r="BI27">
        <v>400</v>
      </c>
      <c r="BJ27">
        <v>200</v>
      </c>
      <c r="BK27">
        <v>400</v>
      </c>
      <c r="BL27">
        <v>25</v>
      </c>
      <c r="BM27">
        <v>75</v>
      </c>
      <c r="BN27">
        <v>300</v>
      </c>
      <c r="BO27">
        <v>1500</v>
      </c>
    </row>
    <row r="28" spans="1:69" x14ac:dyDescent="0.3">
      <c r="A28">
        <v>22</v>
      </c>
      <c r="B28" t="s">
        <v>130</v>
      </c>
      <c r="C28" t="s">
        <v>124</v>
      </c>
      <c r="D28">
        <v>12126</v>
      </c>
      <c r="E28">
        <v>20464</v>
      </c>
      <c r="F28">
        <v>9000</v>
      </c>
      <c r="G28">
        <v>10000</v>
      </c>
      <c r="H28">
        <v>5000</v>
      </c>
      <c r="I28">
        <v>10000</v>
      </c>
      <c r="J28">
        <v>4500</v>
      </c>
      <c r="K28">
        <v>5346</v>
      </c>
      <c r="L28">
        <v>8849</v>
      </c>
      <c r="M28">
        <v>6500</v>
      </c>
      <c r="N28">
        <v>12580</v>
      </c>
      <c r="O28">
        <v>12000</v>
      </c>
      <c r="P28">
        <v>18790</v>
      </c>
      <c r="Q28">
        <v>25821</v>
      </c>
      <c r="R28">
        <v>18204</v>
      </c>
      <c r="S28">
        <v>11481</v>
      </c>
      <c r="T28">
        <v>6393</v>
      </c>
      <c r="U28">
        <v>18183</v>
      </c>
      <c r="V28">
        <v>31654</v>
      </c>
      <c r="W28">
        <v>28969</v>
      </c>
      <c r="X28">
        <v>21843</v>
      </c>
      <c r="Y28">
        <v>7535</v>
      </c>
      <c r="Z28">
        <v>11000</v>
      </c>
      <c r="AA28">
        <v>25000</v>
      </c>
      <c r="AB28">
        <v>30000</v>
      </c>
      <c r="AC28">
        <v>12000</v>
      </c>
      <c r="AD28">
        <v>19000</v>
      </c>
      <c r="AE28">
        <v>17000</v>
      </c>
      <c r="AF28">
        <v>21047</v>
      </c>
      <c r="AG28">
        <v>2500</v>
      </c>
      <c r="AH28">
        <v>8000</v>
      </c>
      <c r="AI28">
        <v>12000</v>
      </c>
      <c r="AJ28">
        <v>2200</v>
      </c>
      <c r="AK28">
        <v>1300</v>
      </c>
      <c r="AL28">
        <v>2000</v>
      </c>
      <c r="AM28" s="55">
        <v>1000</v>
      </c>
      <c r="AN28" s="55">
        <v>3000</v>
      </c>
      <c r="AO28" s="55">
        <v>3500</v>
      </c>
      <c r="AP28">
        <v>1200</v>
      </c>
      <c r="AQ28">
        <v>1000</v>
      </c>
      <c r="AR28">
        <v>650</v>
      </c>
      <c r="AS28">
        <v>800</v>
      </c>
      <c r="AT28">
        <v>3000</v>
      </c>
      <c r="AU28">
        <v>850</v>
      </c>
      <c r="AV28">
        <v>800</v>
      </c>
      <c r="AW28">
        <v>1200</v>
      </c>
      <c r="AX28">
        <v>750</v>
      </c>
      <c r="AY28">
        <v>1500</v>
      </c>
      <c r="AZ28">
        <v>3500</v>
      </c>
      <c r="BA28">
        <v>1500</v>
      </c>
      <c r="BB28">
        <v>3500</v>
      </c>
      <c r="BC28">
        <v>3500</v>
      </c>
      <c r="BD28">
        <v>3500</v>
      </c>
      <c r="BE28">
        <v>1500</v>
      </c>
      <c r="BF28">
        <v>1500</v>
      </c>
      <c r="BG28">
        <v>1500</v>
      </c>
      <c r="BH28">
        <v>750</v>
      </c>
      <c r="BI28">
        <v>400</v>
      </c>
      <c r="BJ28">
        <v>1500</v>
      </c>
      <c r="BK28">
        <v>3500</v>
      </c>
      <c r="BL28">
        <v>400</v>
      </c>
      <c r="BM28">
        <v>750</v>
      </c>
      <c r="BN28">
        <v>750</v>
      </c>
      <c r="BO28">
        <v>750</v>
      </c>
    </row>
    <row r="31" spans="1:69" x14ac:dyDescent="0.3">
      <c r="AM31">
        <f>SUM(AM26:AM28)</f>
        <v>8800</v>
      </c>
      <c r="AN31">
        <f t="shared" ref="AN31:AS31" si="3">SUM(AN26:AN28)</f>
        <v>7500</v>
      </c>
      <c r="AO31">
        <f t="shared" si="3"/>
        <v>13820</v>
      </c>
      <c r="AP31">
        <f t="shared" si="3"/>
        <v>10700</v>
      </c>
      <c r="AQ31">
        <f t="shared" si="3"/>
        <v>13420</v>
      </c>
      <c r="AR31">
        <f t="shared" si="3"/>
        <v>14050</v>
      </c>
      <c r="AS31">
        <f t="shared" si="3"/>
        <v>15875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opLeftCell="A11" workbookViewId="0">
      <selection activeCell="U21" sqref="U21"/>
    </sheetView>
  </sheetViews>
  <sheetFormatPr defaultRowHeight="14.4" x14ac:dyDescent="0.3"/>
  <cols>
    <col min="2" max="3" width="11.5546875" bestFit="1" customWidth="1"/>
    <col min="4" max="4" width="10.5546875" bestFit="1" customWidth="1"/>
    <col min="5" max="5" width="11.5546875" bestFit="1" customWidth="1"/>
    <col min="8" max="11" width="10.5546875" bestFit="1" customWidth="1"/>
    <col min="13" max="14" width="10.5546875" bestFit="1" customWidth="1"/>
    <col min="15" max="15" width="9.5546875" bestFit="1" customWidth="1"/>
    <col min="16" max="16" width="10.5546875" bestFit="1" customWidth="1"/>
  </cols>
  <sheetData>
    <row r="1" spans="1:16" x14ac:dyDescent="0.3">
      <c r="B1" t="s">
        <v>3</v>
      </c>
      <c r="H1" t="s">
        <v>0</v>
      </c>
      <c r="I1" t="s">
        <v>8</v>
      </c>
      <c r="M1" t="s">
        <v>2</v>
      </c>
    </row>
    <row r="2" spans="1:16" x14ac:dyDescent="0.3">
      <c r="B2">
        <v>3</v>
      </c>
      <c r="C2">
        <v>4</v>
      </c>
      <c r="D2">
        <v>5</v>
      </c>
      <c r="E2" t="s">
        <v>1</v>
      </c>
      <c r="H2">
        <v>3</v>
      </c>
      <c r="I2">
        <v>4</v>
      </c>
      <c r="J2">
        <v>5</v>
      </c>
      <c r="K2" t="s">
        <v>1</v>
      </c>
      <c r="M2">
        <v>3</v>
      </c>
      <c r="N2">
        <v>4</v>
      </c>
      <c r="O2">
        <v>5</v>
      </c>
      <c r="P2" t="s">
        <v>1</v>
      </c>
    </row>
    <row r="3" spans="1:16" x14ac:dyDescent="0.3">
      <c r="A3">
        <v>1979</v>
      </c>
      <c r="B3" s="1">
        <v>84311.728623639938</v>
      </c>
      <c r="C3" s="1">
        <v>16728.798617530287</v>
      </c>
      <c r="D3" s="1">
        <v>6399.1322198898742</v>
      </c>
      <c r="E3" s="1">
        <f>SUM(B3:D3)</f>
        <v>107439.6594610601</v>
      </c>
      <c r="F3" s="1"/>
      <c r="G3" s="1"/>
      <c r="H3" s="1">
        <v>6647.2282705159805</v>
      </c>
      <c r="I3" s="1">
        <v>1318.9166551026788</v>
      </c>
      <c r="J3" s="1">
        <v>504.51453544145403</v>
      </c>
      <c r="K3" s="1">
        <v>8470.6594610601132</v>
      </c>
      <c r="M3" s="1">
        <f>B3-H3</f>
        <v>77664.500353123964</v>
      </c>
      <c r="N3" s="1">
        <f t="shared" ref="N3:O3" si="0">C3-I3</f>
        <v>15409.881962427608</v>
      </c>
      <c r="O3" s="1">
        <f t="shared" si="0"/>
        <v>5894.6176844484198</v>
      </c>
      <c r="P3" s="1">
        <f>SUM(M3:O3)</f>
        <v>98968.999999999985</v>
      </c>
    </row>
    <row r="4" spans="1:16" x14ac:dyDescent="0.3">
      <c r="A4">
        <v>1980</v>
      </c>
      <c r="B4" s="1">
        <v>27138.149131875391</v>
      </c>
      <c r="C4" s="1">
        <v>61633.040059539562</v>
      </c>
      <c r="D4" s="1">
        <v>2291.2452178240201</v>
      </c>
      <c r="E4" s="1">
        <f t="shared" ref="E4:E40" si="1">SUM(B4:D4)</f>
        <v>91062.434409238966</v>
      </c>
      <c r="F4" s="1"/>
      <c r="G4" s="1"/>
      <c r="H4" s="1">
        <v>3742.9243597660038</v>
      </c>
      <c r="I4" s="1">
        <v>8500.4989059599429</v>
      </c>
      <c r="J4" s="1">
        <v>316.01114351302272</v>
      </c>
      <c r="K4" s="1">
        <v>12559.434409238969</v>
      </c>
      <c r="M4" s="1">
        <f t="shared" ref="M4:M40" si="2">B4-H4</f>
        <v>23395.224772109388</v>
      </c>
      <c r="N4" s="1">
        <f t="shared" ref="N4:N40" si="3">C4-I4</f>
        <v>53132.541153579616</v>
      </c>
      <c r="O4" s="1">
        <f t="shared" ref="O4:O40" si="4">D4-J4</f>
        <v>1975.2340743109974</v>
      </c>
      <c r="P4" s="1">
        <f t="shared" ref="P4:P40" si="5">SUM(M4:O4)</f>
        <v>78503</v>
      </c>
    </row>
    <row r="5" spans="1:16" x14ac:dyDescent="0.3">
      <c r="A5">
        <v>1981</v>
      </c>
      <c r="B5" s="1">
        <v>64196.590303634577</v>
      </c>
      <c r="C5" s="1">
        <v>23531.231812564023</v>
      </c>
      <c r="D5" s="1">
        <v>10135.584309623133</v>
      </c>
      <c r="E5" s="1">
        <f t="shared" si="1"/>
        <v>97863.40642582174</v>
      </c>
      <c r="F5" s="1"/>
      <c r="G5" s="1"/>
      <c r="H5" s="1">
        <v>5930.3399369888648</v>
      </c>
      <c r="I5" s="1">
        <v>2173.7634837701121</v>
      </c>
      <c r="J5" s="1">
        <v>936.30300506275807</v>
      </c>
      <c r="K5" s="1">
        <v>9040.406425821735</v>
      </c>
      <c r="M5" s="1">
        <f t="shared" si="2"/>
        <v>58266.250366645712</v>
      </c>
      <c r="N5" s="1">
        <f t="shared" si="3"/>
        <v>21357.468328793911</v>
      </c>
      <c r="O5" s="1">
        <f t="shared" si="4"/>
        <v>9199.2813045603743</v>
      </c>
      <c r="P5" s="1">
        <f t="shared" si="5"/>
        <v>88823</v>
      </c>
    </row>
    <row r="6" spans="1:16" x14ac:dyDescent="0.3">
      <c r="A6">
        <v>1982</v>
      </c>
      <c r="B6" s="1">
        <v>67413.929514108109</v>
      </c>
      <c r="C6" s="1">
        <v>72313.207975238809</v>
      </c>
      <c r="D6" s="1">
        <v>10814.650932329121</v>
      </c>
      <c r="E6" s="1">
        <f t="shared" si="1"/>
        <v>150541.78842167603</v>
      </c>
      <c r="F6" s="1"/>
      <c r="G6" s="1"/>
      <c r="H6" s="1">
        <v>5391.9703655937246</v>
      </c>
      <c r="I6" s="1">
        <v>5783.8295030985346</v>
      </c>
      <c r="J6" s="1">
        <v>864.98855298378385</v>
      </c>
      <c r="K6" s="1">
        <v>12040.788421676043</v>
      </c>
      <c r="M6" s="1">
        <f t="shared" si="2"/>
        <v>62021.959148514383</v>
      </c>
      <c r="N6" s="1">
        <f t="shared" si="3"/>
        <v>66529.378472140277</v>
      </c>
      <c r="O6" s="1">
        <f t="shared" si="4"/>
        <v>9949.6623793453364</v>
      </c>
      <c r="P6" s="1">
        <f t="shared" si="5"/>
        <v>138501</v>
      </c>
    </row>
    <row r="7" spans="1:16" x14ac:dyDescent="0.3">
      <c r="A7">
        <v>1983</v>
      </c>
      <c r="B7" s="1">
        <v>35898.619439255308</v>
      </c>
      <c r="C7" s="1">
        <v>83383.805088546273</v>
      </c>
      <c r="D7" s="1">
        <v>32633.987228194863</v>
      </c>
      <c r="E7" s="1">
        <f t="shared" si="1"/>
        <v>151916.41175599644</v>
      </c>
      <c r="F7" s="1"/>
      <c r="G7" s="1"/>
      <c r="H7" s="1">
        <v>1765.7688384108742</v>
      </c>
      <c r="I7" s="1">
        <v>4101.4536757499172</v>
      </c>
      <c r="J7" s="1">
        <v>1605.1892418356556</v>
      </c>
      <c r="K7" s="1">
        <v>7472.411755996447</v>
      </c>
      <c r="M7" s="1">
        <f t="shared" si="2"/>
        <v>34132.850600844431</v>
      </c>
      <c r="N7" s="1">
        <f t="shared" si="3"/>
        <v>79282.351412796357</v>
      </c>
      <c r="O7" s="1">
        <f t="shared" si="4"/>
        <v>31028.797986359208</v>
      </c>
      <c r="P7" s="1">
        <f t="shared" si="5"/>
        <v>144444</v>
      </c>
    </row>
    <row r="8" spans="1:16" x14ac:dyDescent="0.3">
      <c r="A8">
        <v>1984</v>
      </c>
      <c r="B8" s="1">
        <v>29040.836455346976</v>
      </c>
      <c r="C8" s="1">
        <v>100567.09404167288</v>
      </c>
      <c r="D8" s="1">
        <v>26193.49443635295</v>
      </c>
      <c r="E8" s="1">
        <f t="shared" si="1"/>
        <v>155801.42493337282</v>
      </c>
      <c r="F8" s="1"/>
      <c r="G8" s="1"/>
      <c r="H8" s="1">
        <v>2004.4005050562148</v>
      </c>
      <c r="I8" s="1">
        <v>6941.1476628473911</v>
      </c>
      <c r="J8" s="1">
        <v>1807.8767654692101</v>
      </c>
      <c r="K8" s="1">
        <v>10753.424933372815</v>
      </c>
      <c r="M8" s="1">
        <f t="shared" si="2"/>
        <v>27036.435950290761</v>
      </c>
      <c r="N8" s="1">
        <f t="shared" si="3"/>
        <v>93625.946378825494</v>
      </c>
      <c r="O8" s="1">
        <f t="shared" si="4"/>
        <v>24385.617670883741</v>
      </c>
      <c r="P8" s="1">
        <f t="shared" si="5"/>
        <v>145048</v>
      </c>
    </row>
    <row r="9" spans="1:16" x14ac:dyDescent="0.3">
      <c r="A9">
        <v>1985</v>
      </c>
      <c r="B9" s="1">
        <v>66208.19147507404</v>
      </c>
      <c r="C9" s="1">
        <v>57661.37328241441</v>
      </c>
      <c r="D9" s="1">
        <v>13961.998470228451</v>
      </c>
      <c r="E9" s="1">
        <f t="shared" si="1"/>
        <v>137831.56322771689</v>
      </c>
      <c r="F9" s="1"/>
      <c r="G9" s="1"/>
      <c r="H9" s="1">
        <v>3005.2614750740454</v>
      </c>
      <c r="I9" s="1">
        <v>2855.6232824144117</v>
      </c>
      <c r="J9" s="1">
        <v>720.4184702284515</v>
      </c>
      <c r="K9" s="1">
        <v>6581.3032277169077</v>
      </c>
      <c r="M9" s="1">
        <f t="shared" si="2"/>
        <v>63202.929999999993</v>
      </c>
      <c r="N9" s="1">
        <f t="shared" si="3"/>
        <v>54805.75</v>
      </c>
      <c r="O9" s="1">
        <f t="shared" si="4"/>
        <v>13241.58</v>
      </c>
      <c r="P9" s="1">
        <f t="shared" si="5"/>
        <v>131250.25999999998</v>
      </c>
    </row>
    <row r="10" spans="1:16" x14ac:dyDescent="0.3">
      <c r="A10">
        <v>1986</v>
      </c>
      <c r="B10" s="1">
        <v>4076.4349307658531</v>
      </c>
      <c r="C10" s="1">
        <v>61189.654300215931</v>
      </c>
      <c r="D10" s="1">
        <v>11135.306978671757</v>
      </c>
      <c r="E10" s="1">
        <f t="shared" si="1"/>
        <v>76401.39620965354</v>
      </c>
      <c r="F10" s="1"/>
      <c r="G10" s="1"/>
      <c r="H10" s="1">
        <v>286.43493076585298</v>
      </c>
      <c r="I10" s="1">
        <v>5528.6543002159278</v>
      </c>
      <c r="J10" s="1">
        <v>1035.3069786717579</v>
      </c>
      <c r="K10" s="1">
        <v>6850.3962096535388</v>
      </c>
      <c r="M10" s="1">
        <f t="shared" si="2"/>
        <v>3790</v>
      </c>
      <c r="N10" s="1">
        <f t="shared" si="3"/>
        <v>55661</v>
      </c>
      <c r="O10" s="1">
        <f t="shared" si="4"/>
        <v>10100</v>
      </c>
      <c r="P10" s="1">
        <f t="shared" si="5"/>
        <v>69551</v>
      </c>
    </row>
    <row r="11" spans="1:16" x14ac:dyDescent="0.3">
      <c r="A11">
        <v>1987</v>
      </c>
      <c r="B11" s="1">
        <v>78863.213924061507</v>
      </c>
      <c r="C11" s="1">
        <v>9969.7805897349808</v>
      </c>
      <c r="D11" s="1">
        <v>8858.3757704794916</v>
      </c>
      <c r="E11" s="1">
        <f t="shared" si="1"/>
        <v>97691.370284275967</v>
      </c>
      <c r="F11" s="1"/>
      <c r="G11" s="1"/>
      <c r="H11" s="1">
        <v>4604.8586612391582</v>
      </c>
      <c r="I11" s="1">
        <v>169.87390149849989</v>
      </c>
      <c r="J11" s="1">
        <v>308.78772153832614</v>
      </c>
      <c r="K11" s="1">
        <v>5083.5202842759836</v>
      </c>
      <c r="M11" s="1">
        <f t="shared" si="2"/>
        <v>74258.355262822355</v>
      </c>
      <c r="N11" s="1">
        <f t="shared" si="3"/>
        <v>9799.9066882364805</v>
      </c>
      <c r="O11" s="1">
        <f t="shared" si="4"/>
        <v>8549.5880489411647</v>
      </c>
      <c r="P11" s="1">
        <f t="shared" si="5"/>
        <v>92607.85</v>
      </c>
    </row>
    <row r="12" spans="1:16" x14ac:dyDescent="0.3">
      <c r="A12">
        <v>1988</v>
      </c>
      <c r="B12" s="1">
        <v>32629.755274181494</v>
      </c>
      <c r="C12" s="1">
        <v>102841.68986425395</v>
      </c>
      <c r="D12" s="1">
        <v>10706.079626741743</v>
      </c>
      <c r="E12" s="1">
        <f t="shared" si="1"/>
        <v>146177.52476517716</v>
      </c>
      <c r="F12" s="1"/>
      <c r="G12" s="1"/>
      <c r="H12" s="1">
        <v>2490.755274181493</v>
      </c>
      <c r="I12" s="1">
        <v>8019.6898642539381</v>
      </c>
      <c r="J12" s="1">
        <v>115.07962674174202</v>
      </c>
      <c r="K12" s="1">
        <v>10625.524765177173</v>
      </c>
      <c r="M12" s="1">
        <f t="shared" si="2"/>
        <v>30139</v>
      </c>
      <c r="N12" s="1">
        <f t="shared" si="3"/>
        <v>94822</v>
      </c>
      <c r="O12" s="1">
        <f t="shared" si="4"/>
        <v>10591</v>
      </c>
      <c r="P12" s="1">
        <f t="shared" si="5"/>
        <v>135552</v>
      </c>
    </row>
    <row r="13" spans="1:16" x14ac:dyDescent="0.3">
      <c r="A13">
        <v>1989</v>
      </c>
      <c r="B13" s="1">
        <v>76028.907277609585</v>
      </c>
      <c r="C13" s="1">
        <v>68883.390370660389</v>
      </c>
      <c r="D13" s="1">
        <v>36975.710841105429</v>
      </c>
      <c r="E13" s="1">
        <f t="shared" si="1"/>
        <v>181888.00848937541</v>
      </c>
      <c r="F13" s="1"/>
      <c r="G13" s="1"/>
      <c r="H13" s="1">
        <v>763.14727760959624</v>
      </c>
      <c r="I13" s="1">
        <v>1213.1903706603928</v>
      </c>
      <c r="J13" s="1">
        <v>8436.7508411054314</v>
      </c>
      <c r="K13" s="1">
        <v>10413.088489375421</v>
      </c>
      <c r="M13" s="1">
        <f t="shared" si="2"/>
        <v>75265.759999999995</v>
      </c>
      <c r="N13" s="1">
        <f t="shared" si="3"/>
        <v>67670.2</v>
      </c>
      <c r="O13" s="1">
        <f t="shared" si="4"/>
        <v>28538.959999999999</v>
      </c>
      <c r="P13" s="1">
        <f t="shared" si="5"/>
        <v>171474.91999999998</v>
      </c>
    </row>
    <row r="14" spans="1:16" x14ac:dyDescent="0.3">
      <c r="A14">
        <v>1990</v>
      </c>
      <c r="B14" s="1">
        <v>78635.515405951301</v>
      </c>
      <c r="C14" s="1">
        <v>108625.36478305998</v>
      </c>
      <c r="D14" s="1">
        <v>32241.874525074836</v>
      </c>
      <c r="E14" s="1">
        <f t="shared" si="1"/>
        <v>219502.75471408613</v>
      </c>
      <c r="F14" s="1"/>
      <c r="G14" s="1"/>
      <c r="H14" s="1">
        <v>1232.3654059513058</v>
      </c>
      <c r="I14" s="1">
        <v>3927.7747830599774</v>
      </c>
      <c r="J14" s="1">
        <v>4804.1945250748358</v>
      </c>
      <c r="K14" s="1">
        <v>9964.3347140861188</v>
      </c>
      <c r="M14" s="1">
        <f t="shared" si="2"/>
        <v>77403.149999999994</v>
      </c>
      <c r="N14" s="1">
        <f t="shared" si="3"/>
        <v>104697.59</v>
      </c>
      <c r="O14" s="1">
        <f t="shared" si="4"/>
        <v>27437.68</v>
      </c>
      <c r="P14" s="1">
        <f t="shared" si="5"/>
        <v>209538.41999999998</v>
      </c>
    </row>
    <row r="15" spans="1:16" x14ac:dyDescent="0.3">
      <c r="A15">
        <v>1991</v>
      </c>
      <c r="B15" s="1">
        <v>74017.143892600448</v>
      </c>
      <c r="C15" s="1">
        <v>146369.40658161577</v>
      </c>
      <c r="D15" s="1">
        <v>80180.693655395007</v>
      </c>
      <c r="E15" s="1">
        <f t="shared" si="1"/>
        <v>300567.24412961124</v>
      </c>
      <c r="F15" s="1"/>
      <c r="G15" s="1"/>
      <c r="H15" s="1">
        <v>2033.3438926004419</v>
      </c>
      <c r="I15" s="1">
        <v>2757.7065816157492</v>
      </c>
      <c r="J15" s="1">
        <v>5293.6136553950064</v>
      </c>
      <c r="K15" s="1">
        <v>10084.664129611197</v>
      </c>
      <c r="M15" s="1">
        <f t="shared" si="2"/>
        <v>71983.8</v>
      </c>
      <c r="N15" s="1">
        <f t="shared" si="3"/>
        <v>143611.70000000001</v>
      </c>
      <c r="O15" s="1">
        <f t="shared" si="4"/>
        <v>74887.08</v>
      </c>
      <c r="P15" s="1">
        <f t="shared" si="5"/>
        <v>290482.58</v>
      </c>
    </row>
    <row r="16" spans="1:16" x14ac:dyDescent="0.3">
      <c r="A16">
        <v>1992</v>
      </c>
      <c r="B16" s="1">
        <v>70990.035455375197</v>
      </c>
      <c r="C16" s="1">
        <v>140935.91768187453</v>
      </c>
      <c r="D16" s="1">
        <v>76338.433196656901</v>
      </c>
      <c r="E16" s="1">
        <f t="shared" si="1"/>
        <v>288264.38633390667</v>
      </c>
      <c r="F16" s="1"/>
      <c r="G16" s="1"/>
      <c r="H16" s="1">
        <v>3030.4586876984276</v>
      </c>
      <c r="I16" s="1">
        <v>6562.7491970260562</v>
      </c>
      <c r="J16" s="1">
        <v>4703.7684491821456</v>
      </c>
      <c r="K16" s="1">
        <v>14296.97633390663</v>
      </c>
      <c r="M16" s="1">
        <f t="shared" si="2"/>
        <v>67959.576767676772</v>
      </c>
      <c r="N16" s="1">
        <f t="shared" si="3"/>
        <v>134373.16848484849</v>
      </c>
      <c r="O16" s="1">
        <f t="shared" si="4"/>
        <v>71634.664747474759</v>
      </c>
      <c r="P16" s="1">
        <f t="shared" si="5"/>
        <v>273967.41000000003</v>
      </c>
    </row>
    <row r="17" spans="1:16" x14ac:dyDescent="0.3">
      <c r="A17">
        <v>1993</v>
      </c>
      <c r="B17" s="1">
        <v>47340.624740236213</v>
      </c>
      <c r="C17" s="1">
        <v>155907.8681439042</v>
      </c>
      <c r="D17" s="1">
        <v>68464.682798583774</v>
      </c>
      <c r="E17" s="1">
        <f t="shared" si="1"/>
        <v>271713.17568272416</v>
      </c>
      <c r="F17" s="1"/>
      <c r="G17" s="1"/>
      <c r="H17" s="1">
        <v>1229.9432068153983</v>
      </c>
      <c r="I17" s="1">
        <v>5348.0748232366714</v>
      </c>
      <c r="J17" s="1">
        <v>6175.8376526721131</v>
      </c>
      <c r="K17" s="1">
        <v>12753.855682724183</v>
      </c>
      <c r="M17" s="1">
        <f t="shared" si="2"/>
        <v>46110.681533420815</v>
      </c>
      <c r="N17" s="1">
        <f t="shared" si="3"/>
        <v>150559.79332066752</v>
      </c>
      <c r="O17" s="1">
        <f t="shared" si="4"/>
        <v>62288.845145911662</v>
      </c>
      <c r="P17" s="1">
        <f t="shared" si="5"/>
        <v>258959.32</v>
      </c>
    </row>
    <row r="18" spans="1:16" x14ac:dyDescent="0.3">
      <c r="A18">
        <v>1994</v>
      </c>
      <c r="B18" s="1">
        <v>5904.1912198431182</v>
      </c>
      <c r="C18" s="1">
        <v>110360.29643785839</v>
      </c>
      <c r="D18" s="1">
        <v>63297.728027771329</v>
      </c>
      <c r="E18" s="1">
        <f t="shared" si="1"/>
        <v>179562.21568547282</v>
      </c>
      <c r="F18" s="1"/>
      <c r="G18" s="1"/>
      <c r="H18" s="1">
        <v>802.3259157068652</v>
      </c>
      <c r="I18" s="1">
        <v>4802.1200388316211</v>
      </c>
      <c r="J18" s="1">
        <v>5879.3897309343447</v>
      </c>
      <c r="K18" s="1">
        <v>11483.83568547283</v>
      </c>
      <c r="M18" s="1">
        <f t="shared" si="2"/>
        <v>5101.8653041362531</v>
      </c>
      <c r="N18" s="1">
        <f t="shared" si="3"/>
        <v>105558.17639902676</v>
      </c>
      <c r="O18" s="1">
        <f t="shared" si="4"/>
        <v>57418.338296836984</v>
      </c>
      <c r="P18" s="1">
        <f t="shared" si="5"/>
        <v>168078.38</v>
      </c>
    </row>
    <row r="19" spans="1:16" x14ac:dyDescent="0.3">
      <c r="A19">
        <v>1995</v>
      </c>
      <c r="B19" s="1">
        <v>3127.4384401970979</v>
      </c>
      <c r="C19" s="1">
        <v>22719.182022153993</v>
      </c>
      <c r="D19" s="1">
        <v>67590.188827278645</v>
      </c>
      <c r="E19" s="1">
        <f t="shared" si="1"/>
        <v>93436.809289629731</v>
      </c>
      <c r="F19" s="1"/>
      <c r="G19" s="1"/>
      <c r="H19" s="1">
        <v>631.83844019709773</v>
      </c>
      <c r="I19" s="1">
        <v>1914.7002830235569</v>
      </c>
      <c r="J19" s="1">
        <v>5087.9305664090753</v>
      </c>
      <c r="K19" s="1">
        <v>7634.4692896297302</v>
      </c>
      <c r="M19" s="1">
        <f t="shared" si="2"/>
        <v>2495.6000000000004</v>
      </c>
      <c r="N19" s="1">
        <f t="shared" si="3"/>
        <v>20804.481739130435</v>
      </c>
      <c r="O19" s="1">
        <f t="shared" si="4"/>
        <v>62502.258260869567</v>
      </c>
      <c r="P19" s="1">
        <f t="shared" si="5"/>
        <v>85802.34</v>
      </c>
    </row>
    <row r="20" spans="1:16" x14ac:dyDescent="0.3">
      <c r="A20">
        <v>1996</v>
      </c>
      <c r="B20" s="1">
        <v>58827.434802573691</v>
      </c>
      <c r="C20" s="1">
        <v>22681.499973260252</v>
      </c>
      <c r="D20" s="1">
        <v>23261.751611287276</v>
      </c>
      <c r="E20" s="1">
        <f t="shared" si="1"/>
        <v>104770.68638712121</v>
      </c>
      <c r="F20" s="1"/>
      <c r="G20" s="1"/>
      <c r="H20" s="1">
        <v>2924.5327487839622</v>
      </c>
      <c r="I20" s="1">
        <v>4562.3365258274916</v>
      </c>
      <c r="J20" s="1">
        <v>3305.7371125097716</v>
      </c>
      <c r="K20" s="1">
        <v>10792.606387121225</v>
      </c>
      <c r="M20" s="1">
        <f t="shared" si="2"/>
        <v>55902.90205378973</v>
      </c>
      <c r="N20" s="1">
        <f t="shared" si="3"/>
        <v>18119.163447432758</v>
      </c>
      <c r="O20" s="1">
        <f t="shared" si="4"/>
        <v>19956.014498777506</v>
      </c>
      <c r="P20" s="1">
        <f t="shared" si="5"/>
        <v>93978.079999999987</v>
      </c>
    </row>
    <row r="21" spans="1:16" x14ac:dyDescent="0.3">
      <c r="A21">
        <v>1997</v>
      </c>
      <c r="B21" s="1">
        <v>54496.694165483306</v>
      </c>
      <c r="C21" s="1">
        <v>86191.168842619591</v>
      </c>
      <c r="D21" s="1">
        <v>6444.6404336463356</v>
      </c>
      <c r="E21" s="1">
        <f t="shared" si="1"/>
        <v>147132.50344174923</v>
      </c>
      <c r="F21" s="1"/>
      <c r="G21" s="1"/>
      <c r="H21" s="1">
        <v>3743.9603634581867</v>
      </c>
      <c r="I21" s="1">
        <v>9302.0738875388524</v>
      </c>
      <c r="J21" s="1">
        <v>2419.5651907521869</v>
      </c>
      <c r="K21" s="1">
        <v>15465.599441749226</v>
      </c>
      <c r="M21" s="1">
        <f t="shared" si="2"/>
        <v>50752.733802025119</v>
      </c>
      <c r="N21" s="1">
        <f t="shared" si="3"/>
        <v>76889.094955080742</v>
      </c>
      <c r="O21" s="1">
        <f t="shared" si="4"/>
        <v>4025.0752428941487</v>
      </c>
      <c r="P21" s="1">
        <f t="shared" si="5"/>
        <v>131666.90400000001</v>
      </c>
    </row>
    <row r="22" spans="1:16" x14ac:dyDescent="0.3">
      <c r="A22">
        <v>1998</v>
      </c>
      <c r="B22" s="1">
        <v>8871.5783405036418</v>
      </c>
      <c r="C22" s="1">
        <v>148201.60099820845</v>
      </c>
      <c r="D22" s="1">
        <v>37897.277178831515</v>
      </c>
      <c r="E22" s="1">
        <f t="shared" si="1"/>
        <v>194970.45651754361</v>
      </c>
      <c r="F22" s="1"/>
      <c r="G22" s="1"/>
      <c r="H22" s="1">
        <v>1975.1108267336119</v>
      </c>
      <c r="I22" s="1">
        <v>19087.065938563388</v>
      </c>
      <c r="J22" s="1">
        <v>11795.0063532318</v>
      </c>
      <c r="K22" s="1">
        <v>32857.183118528803</v>
      </c>
      <c r="M22" s="1">
        <f t="shared" si="2"/>
        <v>6896.4675137700297</v>
      </c>
      <c r="N22" s="1">
        <f t="shared" si="3"/>
        <v>129114.53505964506</v>
      </c>
      <c r="O22" s="1">
        <f t="shared" si="4"/>
        <v>26102.270825599713</v>
      </c>
      <c r="P22" s="1">
        <f t="shared" si="5"/>
        <v>162113.27339901478</v>
      </c>
    </row>
    <row r="23" spans="1:16" x14ac:dyDescent="0.3">
      <c r="A23">
        <v>1999</v>
      </c>
      <c r="B23" s="1">
        <v>7293.0643310217756</v>
      </c>
      <c r="C23" s="1">
        <v>32481.09217170281</v>
      </c>
      <c r="D23" s="1">
        <v>65263.259139438094</v>
      </c>
      <c r="E23" s="1">
        <f t="shared" si="1"/>
        <v>105037.41564216268</v>
      </c>
      <c r="F23" s="1"/>
      <c r="G23" s="1"/>
      <c r="H23" s="1">
        <v>746.10076456242427</v>
      </c>
      <c r="I23" s="1">
        <v>5319.9458989489076</v>
      </c>
      <c r="J23" s="1">
        <v>16429.36897865135</v>
      </c>
      <c r="K23" s="1">
        <v>22495.415642162683</v>
      </c>
      <c r="M23" s="1">
        <f t="shared" si="2"/>
        <v>6546.9635664593516</v>
      </c>
      <c r="N23" s="1">
        <f t="shared" si="3"/>
        <v>27161.146272753904</v>
      </c>
      <c r="O23" s="1">
        <f t="shared" si="4"/>
        <v>48833.890160786745</v>
      </c>
      <c r="P23" s="1">
        <f t="shared" si="5"/>
        <v>82542</v>
      </c>
    </row>
    <row r="24" spans="1:16" x14ac:dyDescent="0.3">
      <c r="A24">
        <v>2000</v>
      </c>
      <c r="B24" s="1">
        <v>3934.3528263191042</v>
      </c>
      <c r="C24" s="1">
        <v>21513.357658679186</v>
      </c>
      <c r="D24" s="1">
        <v>13249.700992050177</v>
      </c>
      <c r="E24" s="1">
        <f t="shared" si="1"/>
        <v>38697.411477048467</v>
      </c>
      <c r="F24" s="1"/>
      <c r="G24" s="1"/>
      <c r="H24" s="1">
        <v>1167.1289055833079</v>
      </c>
      <c r="I24" s="1">
        <v>4390.9823200019582</v>
      </c>
      <c r="J24" s="1">
        <v>3095.3002514632008</v>
      </c>
      <c r="K24" s="1">
        <v>8653.4114770484666</v>
      </c>
      <c r="M24" s="1">
        <f t="shared" si="2"/>
        <v>2767.2239207357961</v>
      </c>
      <c r="N24" s="1">
        <f t="shared" si="3"/>
        <v>17122.37533867723</v>
      </c>
      <c r="O24" s="1">
        <f t="shared" si="4"/>
        <v>10154.400740586976</v>
      </c>
      <c r="P24" s="1">
        <f t="shared" si="5"/>
        <v>30044</v>
      </c>
    </row>
    <row r="25" spans="1:16" x14ac:dyDescent="0.3">
      <c r="A25">
        <v>2001</v>
      </c>
      <c r="B25" s="1">
        <v>59399.904121403415</v>
      </c>
      <c r="C25" s="1">
        <v>19019.393240719921</v>
      </c>
      <c r="D25" s="1">
        <v>10725.365436803266</v>
      </c>
      <c r="E25" s="1">
        <f t="shared" si="1"/>
        <v>89144.662798926613</v>
      </c>
      <c r="F25" s="1"/>
      <c r="G25" s="1"/>
      <c r="H25" s="1">
        <v>4598.9041214034169</v>
      </c>
      <c r="I25" s="1">
        <v>2826.39324071992</v>
      </c>
      <c r="J25" s="1">
        <v>2403.3654368032649</v>
      </c>
      <c r="K25" s="1">
        <v>9828.6627989266017</v>
      </c>
      <c r="M25" s="1">
        <f t="shared" si="2"/>
        <v>54801</v>
      </c>
      <c r="N25" s="1">
        <f t="shared" si="3"/>
        <v>16193</v>
      </c>
      <c r="O25" s="1">
        <f t="shared" si="4"/>
        <v>8322</v>
      </c>
      <c r="P25" s="1">
        <f t="shared" si="5"/>
        <v>79316</v>
      </c>
    </row>
    <row r="26" spans="1:16" x14ac:dyDescent="0.3">
      <c r="A26">
        <v>2002</v>
      </c>
      <c r="B26" s="1">
        <v>47607.330955401616</v>
      </c>
      <c r="C26" s="1">
        <v>114200.52638436429</v>
      </c>
      <c r="D26" s="1">
        <v>5689.4408813966529</v>
      </c>
      <c r="E26" s="1">
        <f t="shared" si="1"/>
        <v>167497.29822116255</v>
      </c>
      <c r="F26" s="1"/>
      <c r="G26" s="1"/>
      <c r="H26" s="1">
        <v>2931.6446205983125</v>
      </c>
      <c r="I26" s="1">
        <v>18987.879301074125</v>
      </c>
      <c r="J26" s="1">
        <v>2950.6876604287013</v>
      </c>
      <c r="K26" s="1">
        <v>24870.211582101139</v>
      </c>
      <c r="M26" s="1">
        <f t="shared" si="2"/>
        <v>44675.6863348033</v>
      </c>
      <c r="N26" s="1">
        <f t="shared" si="3"/>
        <v>95212.647083290169</v>
      </c>
      <c r="O26" s="1">
        <f t="shared" si="4"/>
        <v>2738.7532209679516</v>
      </c>
      <c r="P26" s="1">
        <f t="shared" si="5"/>
        <v>142627.08663906142</v>
      </c>
    </row>
    <row r="27" spans="1:16" x14ac:dyDescent="0.3">
      <c r="A27">
        <v>2003</v>
      </c>
      <c r="B27" s="1">
        <v>43887.432444049191</v>
      </c>
      <c r="C27" s="1">
        <v>135765.62137355009</v>
      </c>
      <c r="D27" s="1">
        <v>37958.953252346095</v>
      </c>
      <c r="E27" s="1">
        <f t="shared" si="1"/>
        <v>217612.00706994539</v>
      </c>
      <c r="F27" s="1"/>
      <c r="G27" s="1"/>
      <c r="H27" s="1">
        <v>2650.6930173840146</v>
      </c>
      <c r="I27" s="1">
        <v>18056.972303972299</v>
      </c>
      <c r="J27" s="1">
        <v>8847.2406068249929</v>
      </c>
      <c r="K27" s="1">
        <v>29554.90592818131</v>
      </c>
      <c r="M27" s="1">
        <f t="shared" si="2"/>
        <v>41236.739426665175</v>
      </c>
      <c r="N27" s="1">
        <f t="shared" si="3"/>
        <v>117708.64906957779</v>
      </c>
      <c r="O27" s="1">
        <f t="shared" si="4"/>
        <v>29111.712645521104</v>
      </c>
      <c r="P27" s="1">
        <f t="shared" si="5"/>
        <v>188057.10114176405</v>
      </c>
    </row>
    <row r="28" spans="1:16" x14ac:dyDescent="0.3">
      <c r="A28">
        <v>2004</v>
      </c>
      <c r="B28" s="1">
        <v>108071.22501310197</v>
      </c>
      <c r="C28" s="1">
        <v>84259.86136172156</v>
      </c>
      <c r="D28" s="1">
        <v>69496.489894776998</v>
      </c>
      <c r="E28" s="1">
        <f t="shared" si="1"/>
        <v>261827.57626960054</v>
      </c>
      <c r="F28" s="1"/>
      <c r="G28" s="1"/>
      <c r="H28" s="1">
        <v>2603.4162761964872</v>
      </c>
      <c r="I28" s="1">
        <v>6343.8826834158226</v>
      </c>
      <c r="J28" s="1">
        <v>12983.701040387688</v>
      </c>
      <c r="K28" s="1">
        <v>21931</v>
      </c>
      <c r="M28" s="1">
        <f t="shared" si="2"/>
        <v>105467.80873690548</v>
      </c>
      <c r="N28" s="1">
        <f t="shared" si="3"/>
        <v>77915.978678305735</v>
      </c>
      <c r="O28" s="1">
        <f t="shared" si="4"/>
        <v>56512.788854389306</v>
      </c>
      <c r="P28" s="1">
        <f t="shared" si="5"/>
        <v>239896.57626960051</v>
      </c>
    </row>
    <row r="29" spans="1:16" x14ac:dyDescent="0.3">
      <c r="A29">
        <v>2005</v>
      </c>
      <c r="B29" s="1">
        <v>29385.25425438831</v>
      </c>
      <c r="C29" s="1">
        <v>107578.20558621213</v>
      </c>
      <c r="D29" s="1">
        <v>19570.826834185285</v>
      </c>
      <c r="E29" s="1">
        <f t="shared" si="1"/>
        <v>156534.28667478572</v>
      </c>
      <c r="F29" s="1"/>
      <c r="G29" s="1"/>
      <c r="H29" s="1">
        <v>1623.2236508700325</v>
      </c>
      <c r="I29" s="1">
        <v>4490.1303251947993</v>
      </c>
      <c r="J29" s="1">
        <v>2299.4007541095234</v>
      </c>
      <c r="K29" s="1">
        <v>8412.7547301743543</v>
      </c>
      <c r="M29" s="1">
        <f t="shared" si="2"/>
        <v>27762.030603518277</v>
      </c>
      <c r="N29" s="1">
        <f t="shared" si="3"/>
        <v>103088.07526101734</v>
      </c>
      <c r="O29" s="1">
        <f t="shared" si="4"/>
        <v>17271.426080075762</v>
      </c>
      <c r="P29" s="1">
        <f t="shared" si="5"/>
        <v>148121.53194461137</v>
      </c>
    </row>
    <row r="30" spans="1:16" x14ac:dyDescent="0.3">
      <c r="A30">
        <v>2006</v>
      </c>
      <c r="B30" s="1">
        <v>76354.499680193141</v>
      </c>
      <c r="C30" s="1">
        <v>89271.342313066314</v>
      </c>
      <c r="D30" s="1">
        <v>31910.786327295627</v>
      </c>
      <c r="E30" s="1">
        <f t="shared" si="1"/>
        <v>197536.62832055506</v>
      </c>
      <c r="F30" s="1"/>
      <c r="G30" s="1"/>
      <c r="H30" s="1">
        <v>3012.6099196006999</v>
      </c>
      <c r="I30" s="1">
        <v>8332.3525646874987</v>
      </c>
      <c r="J30" s="1">
        <v>5044.2115187253385</v>
      </c>
      <c r="K30" s="1">
        <v>16389.174003013537</v>
      </c>
      <c r="M30" s="1">
        <f t="shared" si="2"/>
        <v>73341.889760592443</v>
      </c>
      <c r="N30" s="1">
        <f t="shared" si="3"/>
        <v>80938.989748378808</v>
      </c>
      <c r="O30" s="1">
        <f t="shared" si="4"/>
        <v>26866.574808570287</v>
      </c>
      <c r="P30" s="1">
        <f t="shared" si="5"/>
        <v>181147.45431754153</v>
      </c>
    </row>
    <row r="31" spans="1:16" x14ac:dyDescent="0.3">
      <c r="A31">
        <v>2007</v>
      </c>
      <c r="B31" s="1">
        <v>7337.2552280024511</v>
      </c>
      <c r="C31" s="1">
        <v>98207.374509452988</v>
      </c>
      <c r="D31" s="1">
        <v>15665.171809207901</v>
      </c>
      <c r="E31" s="1">
        <f t="shared" si="1"/>
        <v>121209.80154666334</v>
      </c>
      <c r="F31" s="1"/>
      <c r="G31" s="1"/>
      <c r="H31" s="1">
        <v>1072.2204178577533</v>
      </c>
      <c r="I31" s="1">
        <v>7184.5151521559037</v>
      </c>
      <c r="J31" s="1">
        <v>2652.3966089498717</v>
      </c>
      <c r="K31" s="1">
        <v>10909.132178963529</v>
      </c>
      <c r="M31" s="1">
        <f t="shared" si="2"/>
        <v>6265.034810144698</v>
      </c>
      <c r="N31" s="1">
        <f t="shared" si="3"/>
        <v>91022.859357297086</v>
      </c>
      <c r="O31" s="1">
        <f t="shared" si="4"/>
        <v>13012.775200258029</v>
      </c>
      <c r="P31" s="1">
        <f t="shared" si="5"/>
        <v>110300.66936769981</v>
      </c>
    </row>
    <row r="32" spans="1:16" x14ac:dyDescent="0.3">
      <c r="A32">
        <v>2008</v>
      </c>
      <c r="B32" s="1">
        <v>40173.964289682277</v>
      </c>
      <c r="C32" s="1">
        <v>24719.135703818574</v>
      </c>
      <c r="D32" s="1">
        <v>34141.224051930214</v>
      </c>
      <c r="E32" s="1">
        <f t="shared" si="1"/>
        <v>99034.324045431073</v>
      </c>
      <c r="F32" s="1"/>
      <c r="G32" s="1"/>
      <c r="H32" s="1">
        <v>1907.2572016887698</v>
      </c>
      <c r="I32" s="1">
        <v>2479.8981005888722</v>
      </c>
      <c r="J32" s="1">
        <v>5207.4912510758768</v>
      </c>
      <c r="K32" s="1">
        <v>9594.6465533535193</v>
      </c>
      <c r="M32" s="1">
        <f t="shared" si="2"/>
        <v>38266.707087993505</v>
      </c>
      <c r="N32" s="1">
        <f t="shared" si="3"/>
        <v>22239.237603229703</v>
      </c>
      <c r="O32" s="1">
        <f t="shared" si="4"/>
        <v>28933.732800854337</v>
      </c>
      <c r="P32" s="1">
        <f t="shared" si="5"/>
        <v>89439.67749207755</v>
      </c>
    </row>
    <row r="33" spans="1:16" x14ac:dyDescent="0.3">
      <c r="A33">
        <v>2009</v>
      </c>
      <c r="B33" s="1">
        <v>25075.461467000143</v>
      </c>
      <c r="C33" s="1">
        <v>53736.286602452703</v>
      </c>
      <c r="D33" s="1">
        <v>14009.530374375048</v>
      </c>
      <c r="E33" s="1">
        <f t="shared" si="1"/>
        <v>92821.278443827905</v>
      </c>
      <c r="F33" s="1"/>
      <c r="G33" s="1"/>
      <c r="H33" s="1">
        <v>2647.3189685942411</v>
      </c>
      <c r="I33" s="1">
        <v>8533.8986300769611</v>
      </c>
      <c r="J33" s="1">
        <v>4160.8424904644271</v>
      </c>
      <c r="K33" s="1">
        <v>15342.06008913563</v>
      </c>
      <c r="M33" s="1">
        <f t="shared" si="2"/>
        <v>22428.142498405901</v>
      </c>
      <c r="N33" s="1">
        <f t="shared" si="3"/>
        <v>45202.387972375742</v>
      </c>
      <c r="O33" s="1">
        <f t="shared" si="4"/>
        <v>9848.6878839106212</v>
      </c>
      <c r="P33" s="1">
        <f t="shared" si="5"/>
        <v>77479.218354692261</v>
      </c>
    </row>
    <row r="34" spans="1:16" x14ac:dyDescent="0.3">
      <c r="A34">
        <v>2010</v>
      </c>
      <c r="B34" s="1">
        <v>58577.00887321464</v>
      </c>
      <c r="C34" s="1">
        <v>28843.932391430135</v>
      </c>
      <c r="D34" s="1">
        <v>7856.139976381879</v>
      </c>
      <c r="E34" s="1">
        <f t="shared" si="1"/>
        <v>95277.081241026652</v>
      </c>
      <c r="F34" s="1"/>
      <c r="G34" s="1"/>
      <c r="H34" s="1">
        <v>5024.4149235871273</v>
      </c>
      <c r="I34" s="1">
        <v>7815.4438328075748</v>
      </c>
      <c r="J34" s="1">
        <v>1826.5211524907932</v>
      </c>
      <c r="K34" s="1">
        <v>14666.379908885496</v>
      </c>
      <c r="M34" s="1">
        <f t="shared" si="2"/>
        <v>53552.59394962751</v>
      </c>
      <c r="N34" s="1">
        <f t="shared" si="3"/>
        <v>21028.488558622561</v>
      </c>
      <c r="O34" s="1">
        <f t="shared" si="4"/>
        <v>6029.6188238910854</v>
      </c>
      <c r="P34" s="1">
        <f t="shared" si="5"/>
        <v>80610.70133214115</v>
      </c>
    </row>
    <row r="35" spans="1:16" x14ac:dyDescent="0.3">
      <c r="A35">
        <v>2011</v>
      </c>
      <c r="B35" s="1">
        <v>16068.388092561763</v>
      </c>
      <c r="C35" s="1">
        <v>139159.73426279338</v>
      </c>
      <c r="D35" s="1">
        <v>7770.3363905775514</v>
      </c>
      <c r="E35" s="1">
        <f t="shared" si="1"/>
        <v>162998.4587459327</v>
      </c>
      <c r="F35" s="1"/>
      <c r="G35" s="1"/>
      <c r="H35" s="1">
        <v>1068.4249838737092</v>
      </c>
      <c r="I35" s="1">
        <v>10799.665992075054</v>
      </c>
      <c r="J35" s="1">
        <v>1283.9326677472486</v>
      </c>
      <c r="K35" s="1">
        <v>13152.023643696011</v>
      </c>
      <c r="M35" s="1">
        <f t="shared" si="2"/>
        <v>14999.963108688054</v>
      </c>
      <c r="N35" s="1">
        <f t="shared" si="3"/>
        <v>128360.06827071833</v>
      </c>
      <c r="O35" s="1">
        <f t="shared" si="4"/>
        <v>6486.4037228303023</v>
      </c>
      <c r="P35" s="1">
        <f t="shared" si="5"/>
        <v>149846.43510223669</v>
      </c>
    </row>
    <row r="36" spans="1:16" x14ac:dyDescent="0.3">
      <c r="A36">
        <v>2012</v>
      </c>
      <c r="B36" s="1">
        <v>14657.672379962138</v>
      </c>
      <c r="C36" s="1">
        <v>38064.523077996506</v>
      </c>
      <c r="D36" s="1">
        <v>29167.007580902937</v>
      </c>
      <c r="E36" s="1">
        <f t="shared" si="1"/>
        <v>81889.203038861582</v>
      </c>
      <c r="F36" s="1"/>
      <c r="G36" s="1"/>
      <c r="H36" s="1">
        <v>772.79185198484265</v>
      </c>
      <c r="I36" s="1">
        <v>5576.2712794407116</v>
      </c>
      <c r="J36" s="1">
        <v>4826.841616151587</v>
      </c>
      <c r="K36" s="1">
        <v>11175.90474757714</v>
      </c>
      <c r="M36" s="1">
        <f t="shared" si="2"/>
        <v>13884.880527977295</v>
      </c>
      <c r="N36" s="1">
        <f t="shared" si="3"/>
        <v>32488.251798555793</v>
      </c>
      <c r="O36" s="1">
        <f t="shared" si="4"/>
        <v>24340.165964751352</v>
      </c>
      <c r="P36" s="1">
        <f t="shared" si="5"/>
        <v>70713.298291284445</v>
      </c>
    </row>
    <row r="37" spans="1:16" x14ac:dyDescent="0.3">
      <c r="A37">
        <v>2013</v>
      </c>
      <c r="B37" s="1">
        <v>83043.33798682077</v>
      </c>
      <c r="C37" s="1">
        <v>74959.220683461943</v>
      </c>
      <c r="D37" s="1">
        <v>23128.485629604453</v>
      </c>
      <c r="E37" s="1">
        <f t="shared" si="1"/>
        <v>181131.04429988717</v>
      </c>
      <c r="F37" s="1"/>
      <c r="G37" s="1"/>
      <c r="H37" s="1">
        <v>9558.5244350462362</v>
      </c>
      <c r="I37" s="1">
        <v>8423.0625691120185</v>
      </c>
      <c r="J37" s="1">
        <v>5057.966493706972</v>
      </c>
      <c r="K37" s="1">
        <v>23039.553497865225</v>
      </c>
      <c r="M37" s="1">
        <f t="shared" si="2"/>
        <v>73484.81355177454</v>
      </c>
      <c r="N37" s="1">
        <f t="shared" si="3"/>
        <v>66536.158114349921</v>
      </c>
      <c r="O37" s="1">
        <f t="shared" si="4"/>
        <v>18070.519135897481</v>
      </c>
      <c r="P37" s="1">
        <f t="shared" si="5"/>
        <v>158091.49080202196</v>
      </c>
    </row>
    <row r="38" spans="1:16" x14ac:dyDescent="0.3">
      <c r="A38">
        <v>2014</v>
      </c>
      <c r="B38" s="1">
        <v>17682.086704817739</v>
      </c>
      <c r="C38" s="1">
        <v>93254.259953636356</v>
      </c>
      <c r="D38" s="1">
        <v>10750.845527575595</v>
      </c>
      <c r="E38" s="1">
        <f t="shared" si="1"/>
        <v>121687.1921860297</v>
      </c>
      <c r="F38" s="1"/>
      <c r="G38" s="1"/>
      <c r="H38" s="1">
        <v>1847.3920764219838</v>
      </c>
      <c r="I38" s="1">
        <v>11573.382329762308</v>
      </c>
      <c r="J38" s="1">
        <v>1896.9848772342771</v>
      </c>
      <c r="K38" s="1">
        <v>15317.759283418569</v>
      </c>
      <c r="M38" s="1">
        <f t="shared" si="2"/>
        <v>15834.694628395755</v>
      </c>
      <c r="N38" s="1">
        <f t="shared" si="3"/>
        <v>81680.877623874054</v>
      </c>
      <c r="O38" s="1">
        <f t="shared" si="4"/>
        <v>8853.8606503413175</v>
      </c>
      <c r="P38" s="1">
        <f t="shared" si="5"/>
        <v>106369.43290261112</v>
      </c>
    </row>
    <row r="39" spans="1:16" x14ac:dyDescent="0.3">
      <c r="A39">
        <v>2015</v>
      </c>
      <c r="B39" s="1">
        <v>110877.03350093565</v>
      </c>
      <c r="C39" s="1">
        <v>63898.583096285918</v>
      </c>
      <c r="D39" s="1">
        <v>17127.464084176241</v>
      </c>
      <c r="E39" s="1">
        <f t="shared" si="1"/>
        <v>191903.08068139781</v>
      </c>
      <c r="F39" s="1"/>
      <c r="G39" s="1"/>
      <c r="H39" s="1">
        <v>12447.317646540603</v>
      </c>
      <c r="I39" s="1">
        <v>12257.543772998539</v>
      </c>
      <c r="J39" s="1">
        <v>5151.4877215104589</v>
      </c>
      <c r="K39" s="1">
        <v>29856.349141049599</v>
      </c>
      <c r="M39" s="1">
        <f t="shared" si="2"/>
        <v>98429.71585439505</v>
      </c>
      <c r="N39" s="1">
        <f t="shared" si="3"/>
        <v>51641.039323287376</v>
      </c>
      <c r="O39" s="1">
        <f t="shared" si="4"/>
        <v>11975.976362665782</v>
      </c>
      <c r="P39" s="1">
        <f t="shared" si="5"/>
        <v>162046.73154034824</v>
      </c>
    </row>
    <row r="40" spans="1:16" x14ac:dyDescent="0.3">
      <c r="A40">
        <v>2016</v>
      </c>
      <c r="B40" s="1">
        <v>45934.905489562661</v>
      </c>
      <c r="C40" s="1">
        <v>111960.95291501287</v>
      </c>
      <c r="D40" s="1">
        <v>7693.1070424468717</v>
      </c>
      <c r="E40" s="1">
        <f t="shared" si="1"/>
        <v>165588.9654470224</v>
      </c>
      <c r="F40" s="1"/>
      <c r="G40" s="1"/>
      <c r="H40" s="1">
        <v>4309.5982909082932</v>
      </c>
      <c r="I40" s="1">
        <v>23386.986298424963</v>
      </c>
      <c r="J40" s="1">
        <v>1197.1169746419885</v>
      </c>
      <c r="K40" s="1">
        <v>28893.701563975243</v>
      </c>
      <c r="M40" s="1">
        <f t="shared" si="2"/>
        <v>41625.307198654365</v>
      </c>
      <c r="N40" s="1">
        <f t="shared" si="3"/>
        <v>88573.966616587903</v>
      </c>
      <c r="O40" s="1">
        <f t="shared" si="4"/>
        <v>6495.9900678048834</v>
      </c>
      <c r="P40" s="1">
        <f t="shared" si="5"/>
        <v>136695.26388304716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
  <sheetViews>
    <sheetView workbookViewId="0">
      <selection activeCell="D48" sqref="D48"/>
    </sheetView>
  </sheetViews>
  <sheetFormatPr defaultRowHeight="14.4" x14ac:dyDescent="0.3"/>
  <cols>
    <col min="7" max="9" width="10.5546875" bestFit="1" customWidth="1"/>
    <col min="15" max="15" width="19" bestFit="1" customWidth="1"/>
    <col min="16" max="16" width="17.77734375" bestFit="1" customWidth="1"/>
    <col min="20" max="20" width="20.5546875" bestFit="1" customWidth="1"/>
    <col min="21" max="21" width="7.5546875" customWidth="1"/>
    <col min="22" max="22" width="17.5546875" bestFit="1" customWidth="1"/>
  </cols>
  <sheetData>
    <row r="1" spans="1:22" x14ac:dyDescent="0.3">
      <c r="C1" t="s">
        <v>4</v>
      </c>
      <c r="O1" t="s">
        <v>5</v>
      </c>
    </row>
    <row r="2" spans="1:22" x14ac:dyDescent="0.3">
      <c r="A2" s="3" t="s">
        <v>6</v>
      </c>
      <c r="B2" s="3"/>
      <c r="C2" t="s">
        <v>7</v>
      </c>
      <c r="G2" t="s">
        <v>8</v>
      </c>
      <c r="L2" t="s">
        <v>9</v>
      </c>
      <c r="M2" s="3" t="s">
        <v>1</v>
      </c>
      <c r="T2" t="s">
        <v>10</v>
      </c>
      <c r="V2" t="s">
        <v>11</v>
      </c>
    </row>
    <row r="3" spans="1:22" x14ac:dyDescent="0.3">
      <c r="A3" s="3" t="s">
        <v>12</v>
      </c>
      <c r="B3" s="3"/>
      <c r="C3">
        <v>3</v>
      </c>
      <c r="D3">
        <v>4</v>
      </c>
      <c r="E3">
        <v>5</v>
      </c>
      <c r="G3">
        <v>3</v>
      </c>
      <c r="H3">
        <v>4</v>
      </c>
      <c r="I3">
        <v>5</v>
      </c>
      <c r="M3" s="3"/>
      <c r="O3" t="s">
        <v>13</v>
      </c>
      <c r="P3" t="s">
        <v>14</v>
      </c>
    </row>
    <row r="4" spans="1:22" x14ac:dyDescent="0.3">
      <c r="A4" s="3">
        <v>1979</v>
      </c>
      <c r="B4" s="3"/>
      <c r="C4" s="2">
        <v>77664.500353123964</v>
      </c>
      <c r="D4" s="2">
        <v>15409.881962427609</v>
      </c>
      <c r="E4" s="2">
        <v>5894.6176844484198</v>
      </c>
      <c r="G4" s="1">
        <v>6647.2282705159805</v>
      </c>
      <c r="H4" s="1">
        <v>1318.9166551026788</v>
      </c>
      <c r="I4" s="1">
        <v>504.51453544145403</v>
      </c>
      <c r="L4" s="2">
        <f>SUM(C4:E4,G4:I4)</f>
        <v>107439.65946106009</v>
      </c>
      <c r="M4" s="4">
        <v>107439.6594610601</v>
      </c>
      <c r="O4" s="2">
        <f>SUM(C4:E4)</f>
        <v>98968.999999999985</v>
      </c>
      <c r="P4" s="2">
        <f>SUM(G4:I4)</f>
        <v>8470.6594610601132</v>
      </c>
      <c r="R4">
        <v>79</v>
      </c>
      <c r="S4">
        <v>1</v>
      </c>
      <c r="T4" s="5" t="str">
        <f>CONCATENATE($R4,",",$S4,",",ROUND(C4,0),",",ROUND(D4,0),",",ROUND(E4,0))</f>
        <v>79,1,77665,15410,5895</v>
      </c>
      <c r="U4" s="5"/>
      <c r="V4" s="5" t="str">
        <f>CONCATENATE($R4,",",$S4,",",ROUND(G4,0),",",ROUND(H4,0),",",ROUND(I4,0))</f>
        <v>79,1,6647,1319,505</v>
      </c>
    </row>
    <row r="5" spans="1:22" x14ac:dyDescent="0.3">
      <c r="A5" s="3">
        <v>1980</v>
      </c>
      <c r="B5" s="3"/>
      <c r="C5" s="2">
        <v>23395.224772109388</v>
      </c>
      <c r="D5" s="2">
        <v>53132.541153579616</v>
      </c>
      <c r="E5" s="2">
        <v>1975.2340743109974</v>
      </c>
      <c r="G5" s="1">
        <v>3742.9243597660038</v>
      </c>
      <c r="H5" s="1">
        <v>8500.4989059599429</v>
      </c>
      <c r="I5" s="1">
        <v>316.01114351302272</v>
      </c>
      <c r="L5" s="2">
        <f t="shared" ref="L5:L41" si="0">SUM(C5:E5,G5:I5)</f>
        <v>91062.43440923898</v>
      </c>
      <c r="M5" s="4">
        <v>91062.434409238966</v>
      </c>
      <c r="O5" s="2">
        <f t="shared" ref="O5:O41" si="1">SUM(C5:E5)</f>
        <v>78503</v>
      </c>
      <c r="P5" s="2">
        <f t="shared" ref="P5:P41" si="2">SUM(G5:I5)</f>
        <v>12559.434409238969</v>
      </c>
      <c r="R5">
        <v>80</v>
      </c>
      <c r="S5">
        <v>1</v>
      </c>
      <c r="T5" s="5" t="str">
        <f>CONCATENATE($R5,",",$S5,",",ROUND(C5,0),",",ROUND(D5,0),",",ROUND(E5,0))</f>
        <v>80,1,23395,53133,1975</v>
      </c>
      <c r="U5" s="5"/>
      <c r="V5" s="5" t="str">
        <f>CONCATENATE($R5,",",$S5,",",ROUND(G5,0),",",ROUND(H5,0),",",ROUND(I5,0))</f>
        <v>80,1,3743,8500,316</v>
      </c>
    </row>
    <row r="6" spans="1:22" x14ac:dyDescent="0.3">
      <c r="A6" s="3">
        <v>1981</v>
      </c>
      <c r="B6" s="3"/>
      <c r="C6" s="2">
        <v>58266.250366645712</v>
      </c>
      <c r="D6" s="2">
        <v>21357.468328793911</v>
      </c>
      <c r="E6" s="2">
        <v>9199.2813045603743</v>
      </c>
      <c r="G6" s="1">
        <v>5930.3399369888648</v>
      </c>
      <c r="H6" s="1">
        <v>2173.7634837701121</v>
      </c>
      <c r="I6" s="1">
        <v>936.30300506275807</v>
      </c>
      <c r="L6" s="2">
        <f t="shared" si="0"/>
        <v>97863.40642582174</v>
      </c>
      <c r="M6" s="4">
        <v>97863.40642582174</v>
      </c>
      <c r="O6" s="2">
        <f t="shared" si="1"/>
        <v>88823</v>
      </c>
      <c r="P6" s="2">
        <f t="shared" si="2"/>
        <v>9040.406425821735</v>
      </c>
      <c r="R6">
        <v>81</v>
      </c>
      <c r="S6">
        <v>1</v>
      </c>
      <c r="T6" s="5" t="str">
        <f t="shared" ref="T6:T41" si="3">CONCATENATE($R6,",",$S6,",",ROUND(C6,0),",",ROUND(D6,0),",",ROUND(E6,0))</f>
        <v>81,1,58266,21357,9199</v>
      </c>
      <c r="U6" s="5"/>
      <c r="V6" s="5" t="str">
        <f t="shared" ref="V6:V41" si="4">CONCATENATE($R6,",",$S6,",",ROUND(G6,0),",",ROUND(H6,0),",",ROUND(I6,0))</f>
        <v>81,1,5930,2174,936</v>
      </c>
    </row>
    <row r="7" spans="1:22" x14ac:dyDescent="0.3">
      <c r="A7" s="3">
        <v>1982</v>
      </c>
      <c r="B7" s="3"/>
      <c r="C7" s="2">
        <v>62021.959148514383</v>
      </c>
      <c r="D7" s="2">
        <v>66529.378472140277</v>
      </c>
      <c r="E7" s="2">
        <v>9949.6623793453382</v>
      </c>
      <c r="G7" s="1">
        <v>5391.9703655937246</v>
      </c>
      <c r="H7" s="1">
        <v>5783.8295030985346</v>
      </c>
      <c r="I7" s="1">
        <v>864.98855298378385</v>
      </c>
      <c r="L7" s="2">
        <f t="shared" si="0"/>
        <v>150541.78842167606</v>
      </c>
      <c r="M7" s="4">
        <v>150541.78842167603</v>
      </c>
      <c r="O7" s="2">
        <f t="shared" si="1"/>
        <v>138501</v>
      </c>
      <c r="P7" s="2">
        <f t="shared" si="2"/>
        <v>12040.788421676043</v>
      </c>
      <c r="R7">
        <v>82</v>
      </c>
      <c r="S7">
        <v>1</v>
      </c>
      <c r="T7" s="5" t="str">
        <f t="shared" si="3"/>
        <v>82,1,62022,66529,9950</v>
      </c>
      <c r="U7" s="5"/>
      <c r="V7" s="5" t="str">
        <f t="shared" si="4"/>
        <v>82,1,5392,5784,865</v>
      </c>
    </row>
    <row r="8" spans="1:22" x14ac:dyDescent="0.3">
      <c r="A8" s="3">
        <v>1983</v>
      </c>
      <c r="B8" s="3"/>
      <c r="C8" s="2">
        <v>34132.850600844431</v>
      </c>
      <c r="D8" s="2">
        <v>79282.351412796357</v>
      </c>
      <c r="E8" s="2">
        <v>31028.797986359208</v>
      </c>
      <c r="G8" s="1">
        <v>1765.7688384108742</v>
      </c>
      <c r="H8" s="1">
        <v>4101.4536757499172</v>
      </c>
      <c r="I8" s="1">
        <v>1605.1892418356556</v>
      </c>
      <c r="L8" s="2">
        <f t="shared" si="0"/>
        <v>151916.41175599644</v>
      </c>
      <c r="M8" s="4">
        <v>151916.41175599644</v>
      </c>
      <c r="O8" s="2">
        <f t="shared" si="1"/>
        <v>144444</v>
      </c>
      <c r="P8" s="2">
        <f t="shared" si="2"/>
        <v>7472.411755996447</v>
      </c>
      <c r="R8">
        <v>83</v>
      </c>
      <c r="S8">
        <v>1</v>
      </c>
      <c r="T8" s="5" t="str">
        <f t="shared" si="3"/>
        <v>83,1,34133,79282,31029</v>
      </c>
      <c r="U8" s="5"/>
      <c r="V8" s="5" t="str">
        <f t="shared" si="4"/>
        <v>83,1,1766,4101,1605</v>
      </c>
    </row>
    <row r="9" spans="1:22" x14ac:dyDescent="0.3">
      <c r="A9" s="3">
        <v>1984</v>
      </c>
      <c r="B9" s="3"/>
      <c r="C9" s="2">
        <v>27036.435950290761</v>
      </c>
      <c r="D9" s="2">
        <v>93625.946378825494</v>
      </c>
      <c r="E9" s="2">
        <v>24385.617670883741</v>
      </c>
      <c r="G9" s="1">
        <v>2004.4005050562148</v>
      </c>
      <c r="H9" s="1">
        <v>6941.1476628473911</v>
      </c>
      <c r="I9" s="1">
        <v>1807.8767654692101</v>
      </c>
      <c r="L9" s="2">
        <f t="shared" si="0"/>
        <v>155801.42493337282</v>
      </c>
      <c r="M9" s="4">
        <v>155801.42493337282</v>
      </c>
      <c r="O9" s="2">
        <f t="shared" si="1"/>
        <v>145048</v>
      </c>
      <c r="P9" s="2">
        <f t="shared" si="2"/>
        <v>10753.424933372815</v>
      </c>
      <c r="R9">
        <v>84</v>
      </c>
      <c r="S9">
        <v>1</v>
      </c>
      <c r="T9" s="5" t="str">
        <f t="shared" si="3"/>
        <v>84,1,27036,93626,24386</v>
      </c>
      <c r="U9" s="5"/>
      <c r="V9" s="5" t="str">
        <f t="shared" si="4"/>
        <v>84,1,2004,6941,1808</v>
      </c>
    </row>
    <row r="10" spans="1:22" x14ac:dyDescent="0.3">
      <c r="A10" s="3">
        <v>1985</v>
      </c>
      <c r="B10" s="3"/>
      <c r="C10" s="2">
        <v>63202.93</v>
      </c>
      <c r="D10" s="2">
        <v>54805.75</v>
      </c>
      <c r="E10" s="2">
        <v>13241.58</v>
      </c>
      <c r="G10" s="1">
        <v>3005.2614750740454</v>
      </c>
      <c r="H10" s="1">
        <v>2855.6232824144117</v>
      </c>
      <c r="I10" s="1">
        <v>720.4184702284515</v>
      </c>
      <c r="L10" s="2">
        <f t="shared" si="0"/>
        <v>137831.56322771689</v>
      </c>
      <c r="M10" s="4">
        <v>137831.56322771689</v>
      </c>
      <c r="O10" s="2">
        <f t="shared" si="1"/>
        <v>131250.25999999998</v>
      </c>
      <c r="P10" s="2">
        <f t="shared" si="2"/>
        <v>6581.3032277169077</v>
      </c>
      <c r="R10">
        <v>85</v>
      </c>
      <c r="S10">
        <v>1</v>
      </c>
      <c r="T10" s="5" t="str">
        <f t="shared" si="3"/>
        <v>85,1,63203,54806,13242</v>
      </c>
      <c r="U10" s="5"/>
      <c r="V10" s="5" t="str">
        <f t="shared" si="4"/>
        <v>85,1,3005,2856,720</v>
      </c>
    </row>
    <row r="11" spans="1:22" x14ac:dyDescent="0.3">
      <c r="A11" s="3">
        <v>1986</v>
      </c>
      <c r="B11" s="3"/>
      <c r="C11" s="2">
        <v>3790</v>
      </c>
      <c r="D11" s="2">
        <v>55661</v>
      </c>
      <c r="E11" s="2">
        <v>10100</v>
      </c>
      <c r="G11" s="1">
        <v>286.43493076585298</v>
      </c>
      <c r="H11" s="1">
        <v>5528.6543002159278</v>
      </c>
      <c r="I11" s="1">
        <v>1035.3069786717579</v>
      </c>
      <c r="L11" s="2">
        <f t="shared" si="0"/>
        <v>76401.39620965354</v>
      </c>
      <c r="M11" s="4">
        <v>76401.39620965354</v>
      </c>
      <c r="O11" s="2">
        <f t="shared" si="1"/>
        <v>69551</v>
      </c>
      <c r="P11" s="2">
        <f t="shared" si="2"/>
        <v>6850.3962096535388</v>
      </c>
      <c r="R11">
        <v>86</v>
      </c>
      <c r="S11">
        <v>1</v>
      </c>
      <c r="T11" s="5" t="str">
        <f t="shared" si="3"/>
        <v>86,1,3790,55661,10100</v>
      </c>
      <c r="U11" s="5"/>
      <c r="V11" s="5" t="str">
        <f t="shared" si="4"/>
        <v>86,1,286,5529,1035</v>
      </c>
    </row>
    <row r="12" spans="1:22" x14ac:dyDescent="0.3">
      <c r="A12" s="3">
        <v>1987</v>
      </c>
      <c r="B12" s="3"/>
      <c r="C12" s="2">
        <v>74258.355262822355</v>
      </c>
      <c r="D12" s="2">
        <v>9799.9066882364805</v>
      </c>
      <c r="E12" s="2">
        <v>8549.5880489411666</v>
      </c>
      <c r="G12" s="1">
        <v>4604.8586612391582</v>
      </c>
      <c r="H12" s="1">
        <v>169.87390149849989</v>
      </c>
      <c r="I12" s="1">
        <v>308.78772153832614</v>
      </c>
      <c r="L12" s="2">
        <f t="shared" si="0"/>
        <v>97691.370284275981</v>
      </c>
      <c r="M12" s="4">
        <v>97691.370284275967</v>
      </c>
      <c r="O12" s="2">
        <f t="shared" si="1"/>
        <v>92607.85</v>
      </c>
      <c r="P12" s="2">
        <f t="shared" si="2"/>
        <v>5083.5202842759836</v>
      </c>
      <c r="R12">
        <v>87</v>
      </c>
      <c r="S12">
        <v>1</v>
      </c>
      <c r="T12" s="5" t="str">
        <f t="shared" si="3"/>
        <v>87,1,74258,9800,8550</v>
      </c>
      <c r="U12" s="5"/>
      <c r="V12" s="5" t="str">
        <f t="shared" si="4"/>
        <v>87,1,4605,170,309</v>
      </c>
    </row>
    <row r="13" spans="1:22" x14ac:dyDescent="0.3">
      <c r="A13" s="3">
        <v>1988</v>
      </c>
      <c r="B13" s="3"/>
      <c r="C13" s="2">
        <v>30139</v>
      </c>
      <c r="D13" s="2">
        <v>94822</v>
      </c>
      <c r="E13" s="2">
        <v>10591</v>
      </c>
      <c r="G13" s="1">
        <v>2490.755274181493</v>
      </c>
      <c r="H13" s="1">
        <v>8019.6898642539381</v>
      </c>
      <c r="I13" s="1">
        <v>115.07962674174202</v>
      </c>
      <c r="L13" s="2">
        <f t="shared" si="0"/>
        <v>146177.52476517716</v>
      </c>
      <c r="M13" s="4">
        <v>146177.52476517716</v>
      </c>
      <c r="O13" s="2">
        <f t="shared" si="1"/>
        <v>135552</v>
      </c>
      <c r="P13" s="2">
        <f t="shared" si="2"/>
        <v>10625.524765177173</v>
      </c>
      <c r="R13">
        <v>88</v>
      </c>
      <c r="S13">
        <v>1</v>
      </c>
      <c r="T13" s="5" t="str">
        <f t="shared" si="3"/>
        <v>88,1,30139,94822,10591</v>
      </c>
      <c r="U13" s="5"/>
      <c r="V13" s="5" t="str">
        <f t="shared" si="4"/>
        <v>88,1,2491,8020,115</v>
      </c>
    </row>
    <row r="14" spans="1:22" x14ac:dyDescent="0.3">
      <c r="A14" s="3">
        <v>1989</v>
      </c>
      <c r="B14" s="3"/>
      <c r="C14" s="2">
        <v>75265.759999999995</v>
      </c>
      <c r="D14" s="2">
        <v>67670.2</v>
      </c>
      <c r="E14" s="2">
        <v>28538.959999999999</v>
      </c>
      <c r="G14" s="1">
        <v>763.14727760959624</v>
      </c>
      <c r="H14" s="1">
        <v>1213.1903706603928</v>
      </c>
      <c r="I14" s="1">
        <v>8436.7508411054314</v>
      </c>
      <c r="L14" s="2">
        <f t="shared" si="0"/>
        <v>181888.00848937541</v>
      </c>
      <c r="M14" s="4">
        <v>181888.00848937541</v>
      </c>
      <c r="O14" s="2">
        <f t="shared" si="1"/>
        <v>171474.91999999998</v>
      </c>
      <c r="P14" s="2">
        <f t="shared" si="2"/>
        <v>10413.088489375421</v>
      </c>
      <c r="R14">
        <v>89</v>
      </c>
      <c r="S14">
        <v>1</v>
      </c>
      <c r="T14" s="5" t="str">
        <f t="shared" si="3"/>
        <v>89,1,75266,67670,28539</v>
      </c>
      <c r="U14" s="5"/>
      <c r="V14" s="5" t="str">
        <f t="shared" si="4"/>
        <v>89,1,763,1213,8437</v>
      </c>
    </row>
    <row r="15" spans="1:22" x14ac:dyDescent="0.3">
      <c r="A15" s="3">
        <v>1990</v>
      </c>
      <c r="B15" s="3"/>
      <c r="C15" s="2">
        <v>77403.149999999994</v>
      </c>
      <c r="D15" s="2">
        <v>104697.59</v>
      </c>
      <c r="E15" s="2">
        <v>27437.68</v>
      </c>
      <c r="G15" s="1">
        <v>1232.3654059513058</v>
      </c>
      <c r="H15" s="1">
        <v>3927.7747830599774</v>
      </c>
      <c r="I15" s="1">
        <v>4804.1945250748358</v>
      </c>
      <c r="L15" s="2">
        <f t="shared" si="0"/>
        <v>219502.7547140861</v>
      </c>
      <c r="M15" s="4">
        <v>219502.75471408613</v>
      </c>
      <c r="O15" s="2">
        <f t="shared" si="1"/>
        <v>209538.41999999998</v>
      </c>
      <c r="P15" s="2">
        <f t="shared" si="2"/>
        <v>9964.3347140861188</v>
      </c>
      <c r="R15">
        <v>90</v>
      </c>
      <c r="S15">
        <v>1</v>
      </c>
      <c r="T15" s="5" t="str">
        <f t="shared" si="3"/>
        <v>90,1,77403,104698,27438</v>
      </c>
      <c r="U15" s="5"/>
      <c r="V15" s="5" t="str">
        <f t="shared" si="4"/>
        <v>90,1,1232,3928,4804</v>
      </c>
    </row>
    <row r="16" spans="1:22" x14ac:dyDescent="0.3">
      <c r="A16" s="3">
        <v>1991</v>
      </c>
      <c r="B16" s="3"/>
      <c r="C16" s="2">
        <v>71983.8</v>
      </c>
      <c r="D16" s="2">
        <v>143611.70000000001</v>
      </c>
      <c r="E16" s="2">
        <v>74887.08</v>
      </c>
      <c r="G16" s="1">
        <v>2033.3438926004419</v>
      </c>
      <c r="H16" s="1">
        <v>2757.7065816157492</v>
      </c>
      <c r="I16" s="1">
        <v>5293.6136553950064</v>
      </c>
      <c r="L16" s="2">
        <f t="shared" si="0"/>
        <v>300567.24412961118</v>
      </c>
      <c r="M16" s="4">
        <v>300567.24412961124</v>
      </c>
      <c r="O16" s="2">
        <f t="shared" si="1"/>
        <v>290482.58</v>
      </c>
      <c r="P16" s="2">
        <f t="shared" si="2"/>
        <v>10084.664129611197</v>
      </c>
      <c r="R16">
        <v>91</v>
      </c>
      <c r="S16">
        <v>1</v>
      </c>
      <c r="T16" s="5" t="str">
        <f t="shared" si="3"/>
        <v>91,1,71984,143612,74887</v>
      </c>
      <c r="U16" s="5"/>
      <c r="V16" s="5" t="str">
        <f t="shared" si="4"/>
        <v>91,1,2033,2758,5294</v>
      </c>
    </row>
    <row r="17" spans="1:22" x14ac:dyDescent="0.3">
      <c r="A17" s="3">
        <v>1992</v>
      </c>
      <c r="B17" s="3"/>
      <c r="C17" s="2">
        <v>67959.576767676772</v>
      </c>
      <c r="D17" s="2">
        <v>134373.16848484849</v>
      </c>
      <c r="E17" s="2">
        <v>71634.664747474744</v>
      </c>
      <c r="G17" s="1">
        <v>3030.4586876984276</v>
      </c>
      <c r="H17" s="1">
        <v>6562.7491970260562</v>
      </c>
      <c r="I17" s="1">
        <v>4703.7684491821456</v>
      </c>
      <c r="L17" s="2">
        <f t="shared" si="0"/>
        <v>288264.38633390667</v>
      </c>
      <c r="M17" s="4">
        <v>288264.38633390667</v>
      </c>
      <c r="O17" s="2">
        <f t="shared" si="1"/>
        <v>273967.41000000003</v>
      </c>
      <c r="P17" s="2">
        <f t="shared" si="2"/>
        <v>14296.97633390663</v>
      </c>
      <c r="R17">
        <v>92</v>
      </c>
      <c r="S17">
        <v>1</v>
      </c>
      <c r="T17" s="5" t="str">
        <f t="shared" si="3"/>
        <v>92,1,67960,134373,71635</v>
      </c>
      <c r="U17" s="5"/>
      <c r="V17" s="5" t="str">
        <f t="shared" si="4"/>
        <v>92,1,3030,6563,4704</v>
      </c>
    </row>
    <row r="18" spans="1:22" x14ac:dyDescent="0.3">
      <c r="A18" s="3">
        <v>1993</v>
      </c>
      <c r="B18" s="3"/>
      <c r="C18" s="2">
        <v>46110.681533420815</v>
      </c>
      <c r="D18" s="2">
        <v>150559.79332066752</v>
      </c>
      <c r="E18" s="2">
        <v>62288.845145911662</v>
      </c>
      <c r="G18" s="1">
        <v>1229.9432068153983</v>
      </c>
      <c r="H18" s="1">
        <v>5348.0748232366714</v>
      </c>
      <c r="I18" s="1">
        <v>6175.8376526721131</v>
      </c>
      <c r="L18" s="2">
        <f t="shared" si="0"/>
        <v>271713.17568272422</v>
      </c>
      <c r="M18" s="4">
        <v>271713.17568272416</v>
      </c>
      <c r="O18" s="2">
        <f t="shared" si="1"/>
        <v>258959.32</v>
      </c>
      <c r="P18" s="2">
        <f t="shared" si="2"/>
        <v>12753.855682724183</v>
      </c>
      <c r="R18">
        <v>93</v>
      </c>
      <c r="S18">
        <v>1</v>
      </c>
      <c r="T18" s="5" t="str">
        <f t="shared" si="3"/>
        <v>93,1,46111,150560,62289</v>
      </c>
      <c r="U18" s="5"/>
      <c r="V18" s="5" t="str">
        <f t="shared" si="4"/>
        <v>93,1,1230,5348,6176</v>
      </c>
    </row>
    <row r="19" spans="1:22" x14ac:dyDescent="0.3">
      <c r="A19" s="3">
        <v>1994</v>
      </c>
      <c r="B19" s="3"/>
      <c r="C19" s="2">
        <v>5101.8653041362531</v>
      </c>
      <c r="D19" s="2">
        <v>105558.17639902676</v>
      </c>
      <c r="E19" s="2">
        <v>57418.338296836984</v>
      </c>
      <c r="G19" s="1">
        <v>802.3259157068652</v>
      </c>
      <c r="H19" s="1">
        <v>4802.1200388316211</v>
      </c>
      <c r="I19" s="1">
        <v>5879.3897309343447</v>
      </c>
      <c r="L19" s="2">
        <f t="shared" si="0"/>
        <v>179562.21568547282</v>
      </c>
      <c r="M19" s="4">
        <v>179562.21568547282</v>
      </c>
      <c r="O19" s="2">
        <f t="shared" si="1"/>
        <v>168078.38</v>
      </c>
      <c r="P19" s="2">
        <f t="shared" si="2"/>
        <v>11483.83568547283</v>
      </c>
      <c r="R19">
        <v>94</v>
      </c>
      <c r="S19">
        <v>1</v>
      </c>
      <c r="T19" s="5" t="str">
        <f t="shared" si="3"/>
        <v>94,1,5102,105558,57418</v>
      </c>
      <c r="U19" s="5"/>
      <c r="V19" s="5" t="str">
        <f t="shared" si="4"/>
        <v>94,1,802,4802,5879</v>
      </c>
    </row>
    <row r="20" spans="1:22" x14ac:dyDescent="0.3">
      <c r="A20" s="3">
        <v>1995</v>
      </c>
      <c r="B20" s="3"/>
      <c r="C20" s="2">
        <v>2495.6000000000004</v>
      </c>
      <c r="D20" s="2">
        <v>20804.481739130435</v>
      </c>
      <c r="E20" s="2">
        <v>62502.258260869567</v>
      </c>
      <c r="G20" s="1">
        <v>631.83844019709773</v>
      </c>
      <c r="H20" s="1">
        <v>1914.7002830235569</v>
      </c>
      <c r="I20" s="1">
        <v>5087.9305664090753</v>
      </c>
      <c r="L20" s="2">
        <f t="shared" si="0"/>
        <v>93436.809289629731</v>
      </c>
      <c r="M20" s="4">
        <v>93436.809289629731</v>
      </c>
      <c r="O20" s="2">
        <f t="shared" si="1"/>
        <v>85802.34</v>
      </c>
      <c r="P20" s="2">
        <f t="shared" si="2"/>
        <v>7634.4692896297302</v>
      </c>
      <c r="R20">
        <v>95</v>
      </c>
      <c r="S20">
        <v>1</v>
      </c>
      <c r="T20" s="5" t="str">
        <f t="shared" si="3"/>
        <v>95,1,2496,20804,62502</v>
      </c>
      <c r="U20" s="5"/>
      <c r="V20" s="5" t="str">
        <f t="shared" si="4"/>
        <v>95,1,632,1915,5088</v>
      </c>
    </row>
    <row r="21" spans="1:22" x14ac:dyDescent="0.3">
      <c r="A21" s="3">
        <v>1996</v>
      </c>
      <c r="B21" s="3"/>
      <c r="C21" s="2">
        <v>55902.90205378973</v>
      </c>
      <c r="D21" s="2">
        <v>18119.163447432762</v>
      </c>
      <c r="E21" s="2">
        <v>19956.014498777506</v>
      </c>
      <c r="G21" s="1">
        <v>2924.5327487839622</v>
      </c>
      <c r="H21" s="1">
        <v>4562.3365258274916</v>
      </c>
      <c r="I21" s="1">
        <v>3305.7371125097716</v>
      </c>
      <c r="L21" s="2">
        <f t="shared" si="0"/>
        <v>104770.68638712121</v>
      </c>
      <c r="M21" s="4">
        <v>104770.68638712121</v>
      </c>
      <c r="O21" s="2">
        <f t="shared" si="1"/>
        <v>93978.079999999987</v>
      </c>
      <c r="P21" s="2">
        <f t="shared" si="2"/>
        <v>10792.606387121225</v>
      </c>
      <c r="R21">
        <v>96</v>
      </c>
      <c r="S21">
        <v>1</v>
      </c>
      <c r="T21" s="5" t="str">
        <f t="shared" si="3"/>
        <v>96,1,55903,18119,19956</v>
      </c>
      <c r="U21" s="5"/>
      <c r="V21" s="5" t="str">
        <f t="shared" si="4"/>
        <v>96,1,2925,4562,3306</v>
      </c>
    </row>
    <row r="22" spans="1:22" x14ac:dyDescent="0.3">
      <c r="A22" s="3">
        <v>1997</v>
      </c>
      <c r="B22" s="3"/>
      <c r="C22" s="2">
        <v>50752.733802025119</v>
      </c>
      <c r="D22" s="2">
        <v>76889.094955080742</v>
      </c>
      <c r="E22" s="2">
        <v>4025.0752428941487</v>
      </c>
      <c r="G22" s="1">
        <v>3743.9603634581867</v>
      </c>
      <c r="H22" s="1">
        <v>9302.0738875388524</v>
      </c>
      <c r="I22" s="1">
        <v>2419.5651907521869</v>
      </c>
      <c r="L22" s="2">
        <f t="shared" si="0"/>
        <v>147132.50344174923</v>
      </c>
      <c r="M22" s="4">
        <v>147132.50344174923</v>
      </c>
      <c r="O22" s="2">
        <f t="shared" si="1"/>
        <v>131666.90400000001</v>
      </c>
      <c r="P22" s="2">
        <f t="shared" si="2"/>
        <v>15465.599441749226</v>
      </c>
      <c r="R22">
        <v>97</v>
      </c>
      <c r="S22">
        <v>1</v>
      </c>
      <c r="T22" s="5" t="str">
        <f t="shared" si="3"/>
        <v>97,1,50753,76889,4025</v>
      </c>
      <c r="U22" s="5"/>
      <c r="V22" s="5" t="str">
        <f t="shared" si="4"/>
        <v>97,1,3744,9302,2420</v>
      </c>
    </row>
    <row r="23" spans="1:22" x14ac:dyDescent="0.3">
      <c r="A23" s="3">
        <v>1998</v>
      </c>
      <c r="B23" s="3"/>
      <c r="C23" s="2">
        <v>6896.4675137700287</v>
      </c>
      <c r="D23" s="2">
        <v>129114.53505964504</v>
      </c>
      <c r="E23" s="2">
        <v>26102.270825599713</v>
      </c>
      <c r="G23" s="1">
        <v>1975.1108267336119</v>
      </c>
      <c r="H23" s="1">
        <v>19087.065938563388</v>
      </c>
      <c r="I23" s="1">
        <v>11795.0063532318</v>
      </c>
      <c r="L23" s="2">
        <f t="shared" si="0"/>
        <v>194970.45651754356</v>
      </c>
      <c r="M23" s="4">
        <v>194970.45651754361</v>
      </c>
      <c r="O23" s="2">
        <f t="shared" si="1"/>
        <v>162113.27339901478</v>
      </c>
      <c r="P23" s="2">
        <f t="shared" si="2"/>
        <v>32857.183118528803</v>
      </c>
      <c r="R23">
        <v>98</v>
      </c>
      <c r="S23">
        <v>1</v>
      </c>
      <c r="T23" s="5" t="str">
        <f t="shared" si="3"/>
        <v>98,1,6896,129115,26102</v>
      </c>
      <c r="U23" s="5"/>
      <c r="V23" s="5" t="str">
        <f t="shared" si="4"/>
        <v>98,1,1975,19087,11795</v>
      </c>
    </row>
    <row r="24" spans="1:22" x14ac:dyDescent="0.3">
      <c r="A24" s="3">
        <v>1999</v>
      </c>
      <c r="B24" s="3"/>
      <c r="C24" s="2">
        <v>6546.9635664593516</v>
      </c>
      <c r="D24" s="2">
        <v>27161.146272753904</v>
      </c>
      <c r="E24" s="2">
        <v>48833.890160786745</v>
      </c>
      <c r="G24" s="1">
        <v>746.10076456242427</v>
      </c>
      <c r="H24" s="1">
        <v>5319.9458989489076</v>
      </c>
      <c r="I24" s="1">
        <v>16429.36897865135</v>
      </c>
      <c r="L24" s="2">
        <f t="shared" si="0"/>
        <v>105037.41564216267</v>
      </c>
      <c r="M24" s="4">
        <v>105037.41564216268</v>
      </c>
      <c r="O24" s="2">
        <f t="shared" si="1"/>
        <v>82542</v>
      </c>
      <c r="P24" s="2">
        <f t="shared" si="2"/>
        <v>22495.415642162683</v>
      </c>
      <c r="R24">
        <v>99</v>
      </c>
      <c r="S24">
        <v>1</v>
      </c>
      <c r="T24" s="5" t="str">
        <f t="shared" si="3"/>
        <v>99,1,6547,27161,48834</v>
      </c>
      <c r="U24" s="5"/>
      <c r="V24" s="5" t="str">
        <f t="shared" si="4"/>
        <v>99,1,746,5320,16429</v>
      </c>
    </row>
    <row r="25" spans="1:22" x14ac:dyDescent="0.3">
      <c r="A25" s="3">
        <v>2000</v>
      </c>
      <c r="B25" s="3"/>
      <c r="C25" s="2">
        <v>2767.2239207357966</v>
      </c>
      <c r="D25" s="2">
        <v>17122.37533867723</v>
      </c>
      <c r="E25" s="2">
        <v>10154.400740586978</v>
      </c>
      <c r="G25" s="1">
        <v>1167.1289055833079</v>
      </c>
      <c r="H25" s="1">
        <v>4390.9823200019582</v>
      </c>
      <c r="I25" s="1">
        <v>3095.3002514632008</v>
      </c>
      <c r="L25" s="2">
        <f t="shared" si="0"/>
        <v>38697.411477048474</v>
      </c>
      <c r="M25" s="4">
        <v>38697.411477048467</v>
      </c>
      <c r="O25" s="2">
        <f t="shared" si="1"/>
        <v>30044.000000000004</v>
      </c>
      <c r="P25" s="2">
        <f t="shared" si="2"/>
        <v>8653.4114770484666</v>
      </c>
      <c r="R25">
        <v>100</v>
      </c>
      <c r="S25">
        <v>1</v>
      </c>
      <c r="T25" s="5" t="str">
        <f t="shared" si="3"/>
        <v>100,1,2767,17122,10154</v>
      </c>
      <c r="U25" s="5"/>
      <c r="V25" s="5" t="str">
        <f t="shared" si="4"/>
        <v>100,1,1167,4391,3095</v>
      </c>
    </row>
    <row r="26" spans="1:22" x14ac:dyDescent="0.3">
      <c r="A26" s="3">
        <v>2001</v>
      </c>
      <c r="B26" s="3"/>
      <c r="C26" s="2">
        <v>54801</v>
      </c>
      <c r="D26" s="2">
        <v>16193</v>
      </c>
      <c r="E26" s="2">
        <v>8322</v>
      </c>
      <c r="G26" s="1">
        <v>4598.9041214034169</v>
      </c>
      <c r="H26" s="1">
        <v>2826.39324071992</v>
      </c>
      <c r="I26" s="1">
        <v>2403.3654368032649</v>
      </c>
      <c r="L26" s="2">
        <f t="shared" si="0"/>
        <v>89144.662798926598</v>
      </c>
      <c r="M26" s="4">
        <v>89144.662798926613</v>
      </c>
      <c r="O26" s="2">
        <f t="shared" si="1"/>
        <v>79316</v>
      </c>
      <c r="P26" s="2">
        <f t="shared" si="2"/>
        <v>9828.6627989266017</v>
      </c>
      <c r="R26">
        <v>101</v>
      </c>
      <c r="S26">
        <v>1</v>
      </c>
      <c r="T26" s="5" t="str">
        <f t="shared" si="3"/>
        <v>101,1,54801,16193,8322</v>
      </c>
      <c r="U26" s="5"/>
      <c r="V26" s="5" t="str">
        <f t="shared" si="4"/>
        <v>101,1,4599,2826,2403</v>
      </c>
    </row>
    <row r="27" spans="1:22" x14ac:dyDescent="0.3">
      <c r="A27" s="3">
        <v>2002</v>
      </c>
      <c r="B27" s="3"/>
      <c r="C27" s="2">
        <v>44675.6863348033</v>
      </c>
      <c r="D27" s="2">
        <v>95212.647083290169</v>
      </c>
      <c r="E27" s="2">
        <v>2738.7532209679512</v>
      </c>
      <c r="G27" s="1">
        <v>2931.6446205983125</v>
      </c>
      <c r="H27" s="1">
        <v>18987.879301074125</v>
      </c>
      <c r="I27" s="1">
        <v>2950.6876604287013</v>
      </c>
      <c r="L27" s="2">
        <f t="shared" si="0"/>
        <v>167497.29822116258</v>
      </c>
      <c r="M27" s="4">
        <v>167497.29822116255</v>
      </c>
      <c r="O27" s="2">
        <f t="shared" si="1"/>
        <v>142627.08663906142</v>
      </c>
      <c r="P27" s="2">
        <f t="shared" si="2"/>
        <v>24870.211582101139</v>
      </c>
      <c r="R27">
        <v>102</v>
      </c>
      <c r="S27">
        <v>1</v>
      </c>
      <c r="T27" s="5" t="str">
        <f t="shared" si="3"/>
        <v>102,1,44676,95213,2739</v>
      </c>
      <c r="U27" s="5"/>
      <c r="V27" s="5" t="str">
        <f t="shared" si="4"/>
        <v>102,1,2932,18988,2951</v>
      </c>
    </row>
    <row r="28" spans="1:22" x14ac:dyDescent="0.3">
      <c r="A28" s="3">
        <v>2003</v>
      </c>
      <c r="B28" s="3"/>
      <c r="C28" s="2">
        <v>41236.739426665175</v>
      </c>
      <c r="D28" s="2">
        <v>117708.64906957778</v>
      </c>
      <c r="E28" s="2">
        <v>29111.712645521104</v>
      </c>
      <c r="G28" s="1">
        <v>2650.6930173840146</v>
      </c>
      <c r="H28" s="1">
        <v>18056.972303972299</v>
      </c>
      <c r="I28" s="1">
        <v>8847.2406068249929</v>
      </c>
      <c r="L28" s="2">
        <f t="shared" si="0"/>
        <v>217612.00706994534</v>
      </c>
      <c r="M28" s="4">
        <v>217612.00706994539</v>
      </c>
      <c r="O28" s="2">
        <f t="shared" si="1"/>
        <v>188057.10114176405</v>
      </c>
      <c r="P28" s="2">
        <f t="shared" si="2"/>
        <v>29554.90592818131</v>
      </c>
      <c r="R28">
        <v>103</v>
      </c>
      <c r="S28">
        <v>1</v>
      </c>
      <c r="T28" s="5" t="str">
        <f t="shared" si="3"/>
        <v>103,1,41237,117709,29112</v>
      </c>
      <c r="U28" s="5"/>
      <c r="V28" s="5" t="str">
        <f t="shared" si="4"/>
        <v>103,1,2651,18057,8847</v>
      </c>
    </row>
    <row r="29" spans="1:22" x14ac:dyDescent="0.3">
      <c r="A29" s="3">
        <v>2004</v>
      </c>
      <c r="B29" s="3"/>
      <c r="C29" s="2">
        <v>105467.80873690548</v>
      </c>
      <c r="D29" s="2">
        <v>77915.978678305721</v>
      </c>
      <c r="E29" s="2">
        <v>56512.788854389306</v>
      </c>
      <c r="G29" s="1">
        <v>2603.4162761964872</v>
      </c>
      <c r="H29" s="1">
        <v>6343.8826834158226</v>
      </c>
      <c r="I29" s="1">
        <v>12983.701040387688</v>
      </c>
      <c r="L29" s="2">
        <f t="shared" si="0"/>
        <v>261827.57626960048</v>
      </c>
      <c r="M29" s="4">
        <v>261827.57626960054</v>
      </c>
      <c r="O29" s="2">
        <f t="shared" si="1"/>
        <v>239896.57626960051</v>
      </c>
      <c r="P29" s="2">
        <f t="shared" si="2"/>
        <v>21931</v>
      </c>
      <c r="R29">
        <v>104</v>
      </c>
      <c r="S29">
        <v>1</v>
      </c>
      <c r="T29" s="5" t="str">
        <f t="shared" si="3"/>
        <v>104,1,105468,77916,56513</v>
      </c>
      <c r="U29" s="5"/>
      <c r="V29" s="5" t="str">
        <f t="shared" si="4"/>
        <v>104,1,2603,6344,12984</v>
      </c>
    </row>
    <row r="30" spans="1:22" x14ac:dyDescent="0.3">
      <c r="A30" s="3">
        <v>2005</v>
      </c>
      <c r="B30" s="3"/>
      <c r="C30" s="2">
        <v>27762.030603518277</v>
      </c>
      <c r="D30" s="2">
        <v>103088.07526101734</v>
      </c>
      <c r="E30" s="2">
        <v>17271.426080075762</v>
      </c>
      <c r="G30" s="1">
        <v>1623.2236508700325</v>
      </c>
      <c r="H30" s="1">
        <v>4490.1303251947993</v>
      </c>
      <c r="I30" s="1">
        <v>2299.4007541095234</v>
      </c>
      <c r="L30" s="2">
        <f t="shared" si="0"/>
        <v>156534.28667478572</v>
      </c>
      <c r="M30" s="4">
        <v>156534.28667478572</v>
      </c>
      <c r="O30" s="2">
        <f t="shared" si="1"/>
        <v>148121.53194461137</v>
      </c>
      <c r="P30" s="2">
        <f t="shared" si="2"/>
        <v>8412.7547301743543</v>
      </c>
      <c r="R30">
        <v>105</v>
      </c>
      <c r="S30">
        <v>1</v>
      </c>
      <c r="T30" s="5" t="str">
        <f t="shared" si="3"/>
        <v>105,1,27762,103088,17271</v>
      </c>
      <c r="U30" s="5"/>
      <c r="V30" s="5" t="str">
        <f t="shared" si="4"/>
        <v>105,1,1623,4490,2299</v>
      </c>
    </row>
    <row r="31" spans="1:22" x14ac:dyDescent="0.3">
      <c r="A31" s="3">
        <v>2006</v>
      </c>
      <c r="B31" s="3"/>
      <c r="C31" s="2">
        <v>73341.889760592443</v>
      </c>
      <c r="D31" s="2">
        <v>80938.989748378808</v>
      </c>
      <c r="E31" s="2">
        <v>26866.574808570291</v>
      </c>
      <c r="G31" s="1">
        <v>3012.6099196006999</v>
      </c>
      <c r="H31" s="1">
        <v>8332.3525646874987</v>
      </c>
      <c r="I31" s="1">
        <v>5044.2115187253385</v>
      </c>
      <c r="L31" s="2">
        <f t="shared" si="0"/>
        <v>197536.62832055509</v>
      </c>
      <c r="M31" s="4">
        <v>197536.62832055506</v>
      </c>
      <c r="O31" s="2">
        <f t="shared" si="1"/>
        <v>181147.45431754153</v>
      </c>
      <c r="P31" s="2">
        <f t="shared" si="2"/>
        <v>16389.174003013537</v>
      </c>
      <c r="R31">
        <v>106</v>
      </c>
      <c r="S31">
        <v>1</v>
      </c>
      <c r="T31" s="5" t="str">
        <f t="shared" si="3"/>
        <v>106,1,73342,80939,26867</v>
      </c>
      <c r="U31" s="5"/>
      <c r="V31" s="5" t="str">
        <f t="shared" si="4"/>
        <v>106,1,3013,8332,5044</v>
      </c>
    </row>
    <row r="32" spans="1:22" x14ac:dyDescent="0.3">
      <c r="A32" s="3">
        <v>2007</v>
      </c>
      <c r="B32" s="3"/>
      <c r="C32" s="2">
        <v>6265.034810144698</v>
      </c>
      <c r="D32" s="2">
        <v>91022.859357297071</v>
      </c>
      <c r="E32" s="2">
        <v>13012.775200258029</v>
      </c>
      <c r="G32" s="1">
        <v>1072.2204178577533</v>
      </c>
      <c r="H32" s="1">
        <v>7184.5151521559037</v>
      </c>
      <c r="I32" s="1">
        <v>2652.3966089498717</v>
      </c>
      <c r="L32" s="2">
        <f t="shared" si="0"/>
        <v>121209.80154666332</v>
      </c>
      <c r="M32" s="4">
        <v>121209.80154666334</v>
      </c>
      <c r="O32" s="2">
        <f t="shared" si="1"/>
        <v>110300.6693676998</v>
      </c>
      <c r="P32" s="2">
        <f t="shared" si="2"/>
        <v>10909.132178963529</v>
      </c>
      <c r="R32">
        <v>107</v>
      </c>
      <c r="S32">
        <v>1</v>
      </c>
      <c r="T32" s="5" t="str">
        <f t="shared" si="3"/>
        <v>107,1,6265,91023,13013</v>
      </c>
      <c r="U32" s="5"/>
      <c r="V32" s="5" t="str">
        <f t="shared" si="4"/>
        <v>107,1,1072,7185,2652</v>
      </c>
    </row>
    <row r="33" spans="1:22" x14ac:dyDescent="0.3">
      <c r="A33" s="3">
        <v>2008</v>
      </c>
      <c r="B33" s="3"/>
      <c r="C33" s="2">
        <v>38266.707087993505</v>
      </c>
      <c r="D33" s="2">
        <v>22239.2376032297</v>
      </c>
      <c r="E33" s="2">
        <v>28933.732800854334</v>
      </c>
      <c r="G33" s="1">
        <v>1907.2572016887698</v>
      </c>
      <c r="H33" s="1">
        <v>2479.8981005888722</v>
      </c>
      <c r="I33" s="1">
        <v>5207.4912510758768</v>
      </c>
      <c r="L33" s="2">
        <f t="shared" si="0"/>
        <v>99034.324045431073</v>
      </c>
      <c r="M33" s="4">
        <v>99034.324045431073</v>
      </c>
      <c r="O33" s="2">
        <f t="shared" si="1"/>
        <v>89439.67749207755</v>
      </c>
      <c r="P33" s="2">
        <f t="shared" si="2"/>
        <v>9594.6465533535193</v>
      </c>
      <c r="R33">
        <v>108</v>
      </c>
      <c r="S33">
        <v>1</v>
      </c>
      <c r="T33" s="5" t="str">
        <f t="shared" si="3"/>
        <v>108,1,38267,22239,28934</v>
      </c>
      <c r="U33" s="5"/>
      <c r="V33" s="5" t="str">
        <f t="shared" si="4"/>
        <v>108,1,1907,2480,5207</v>
      </c>
    </row>
    <row r="34" spans="1:22" x14ac:dyDescent="0.3">
      <c r="A34" s="3">
        <v>2009</v>
      </c>
      <c r="B34" s="3"/>
      <c r="C34" s="2">
        <v>22428.142498405901</v>
      </c>
      <c r="D34" s="2">
        <v>45202.387972375742</v>
      </c>
      <c r="E34" s="2">
        <v>9848.6878839106212</v>
      </c>
      <c r="G34" s="1">
        <v>2647.3189685942411</v>
      </c>
      <c r="H34" s="1">
        <v>8533.8986300769611</v>
      </c>
      <c r="I34" s="1">
        <v>4160.8424904644271</v>
      </c>
      <c r="L34" s="2">
        <f t="shared" si="0"/>
        <v>92821.278443827876</v>
      </c>
      <c r="M34" s="4">
        <v>92821.278443827905</v>
      </c>
      <c r="O34" s="2">
        <f t="shared" si="1"/>
        <v>77479.218354692261</v>
      </c>
      <c r="P34" s="2">
        <f t="shared" si="2"/>
        <v>15342.06008913563</v>
      </c>
      <c r="R34">
        <v>109</v>
      </c>
      <c r="S34">
        <v>1</v>
      </c>
      <c r="T34" s="5" t="str">
        <f t="shared" si="3"/>
        <v>109,1,22428,45202,9849</v>
      </c>
      <c r="U34" s="5"/>
      <c r="V34" s="5" t="str">
        <f t="shared" si="4"/>
        <v>109,1,2647,8534,4161</v>
      </c>
    </row>
    <row r="35" spans="1:22" x14ac:dyDescent="0.3">
      <c r="A35" s="3">
        <v>2010</v>
      </c>
      <c r="B35" s="3"/>
      <c r="C35" s="2">
        <v>53552.59394962751</v>
      </c>
      <c r="D35" s="2">
        <v>21028.488558622565</v>
      </c>
      <c r="E35" s="2">
        <v>6029.6188238910854</v>
      </c>
      <c r="G35" s="1">
        <v>5024.4149235871273</v>
      </c>
      <c r="H35" s="1">
        <v>7815.4438328075748</v>
      </c>
      <c r="I35" s="1">
        <v>1826.5211524907932</v>
      </c>
      <c r="L35" s="2">
        <f t="shared" si="0"/>
        <v>95277.081241026666</v>
      </c>
      <c r="M35" s="4">
        <v>95277.081241026652</v>
      </c>
      <c r="O35" s="2">
        <f t="shared" si="1"/>
        <v>80610.701332141165</v>
      </c>
      <c r="P35" s="2">
        <f t="shared" si="2"/>
        <v>14666.379908885496</v>
      </c>
      <c r="R35">
        <v>110</v>
      </c>
      <c r="S35">
        <v>1</v>
      </c>
      <c r="T35" s="5" t="str">
        <f t="shared" si="3"/>
        <v>110,1,53553,21028,6030</v>
      </c>
      <c r="U35" s="5"/>
      <c r="V35" s="5" t="str">
        <f t="shared" si="4"/>
        <v>110,1,5024,7815,1827</v>
      </c>
    </row>
    <row r="36" spans="1:22" x14ac:dyDescent="0.3">
      <c r="A36" s="3">
        <v>2011</v>
      </c>
      <c r="B36" s="3"/>
      <c r="C36" s="2">
        <v>14999.963108688054</v>
      </c>
      <c r="D36" s="2">
        <v>128360.06827071832</v>
      </c>
      <c r="E36" s="2">
        <v>6486.4037228303032</v>
      </c>
      <c r="G36" s="1">
        <v>1072.8857828385242</v>
      </c>
      <c r="H36" s="1">
        <v>10866.424620283635</v>
      </c>
      <c r="I36" s="1">
        <v>1294.6155263670482</v>
      </c>
      <c r="L36" s="2">
        <f t="shared" si="0"/>
        <v>163080.36103172586</v>
      </c>
      <c r="M36" s="4">
        <v>163080.36103172589</v>
      </c>
      <c r="O36" s="2">
        <f t="shared" si="1"/>
        <v>149846.43510223666</v>
      </c>
      <c r="P36" s="2">
        <f t="shared" si="2"/>
        <v>13233.925929489207</v>
      </c>
      <c r="R36">
        <v>111</v>
      </c>
      <c r="S36">
        <v>1</v>
      </c>
      <c r="T36" s="5" t="str">
        <f t="shared" si="3"/>
        <v>111,1,15000,128360,6486</v>
      </c>
      <c r="U36" s="5"/>
      <c r="V36" s="5" t="str">
        <f t="shared" si="4"/>
        <v>111,1,1073,10866,1295</v>
      </c>
    </row>
    <row r="37" spans="1:22" x14ac:dyDescent="0.3">
      <c r="A37" s="3">
        <v>2012</v>
      </c>
      <c r="B37" s="3"/>
      <c r="C37" s="2">
        <v>13884.880527977295</v>
      </c>
      <c r="D37" s="2">
        <v>32488.251798555793</v>
      </c>
      <c r="E37" s="2">
        <v>24340.165964751344</v>
      </c>
      <c r="G37" s="1">
        <v>780.4384620095982</v>
      </c>
      <c r="H37" s="1">
        <v>5665.0445755589672</v>
      </c>
      <c r="I37" s="1">
        <v>4912.3520658435209</v>
      </c>
      <c r="L37" s="2">
        <f t="shared" si="0"/>
        <v>82071.133394696502</v>
      </c>
      <c r="M37" s="4">
        <v>82071.133394696517</v>
      </c>
      <c r="O37" s="2">
        <f t="shared" si="1"/>
        <v>70713.298291284431</v>
      </c>
      <c r="P37" s="2">
        <f t="shared" si="2"/>
        <v>11357.835103412086</v>
      </c>
      <c r="R37">
        <v>112</v>
      </c>
      <c r="S37">
        <v>1</v>
      </c>
      <c r="T37" s="5" t="str">
        <f t="shared" si="3"/>
        <v>112,1,13885,32488,24340</v>
      </c>
      <c r="U37" s="5"/>
      <c r="V37" s="5" t="str">
        <f t="shared" si="4"/>
        <v>112,1,780,5665,4912</v>
      </c>
    </row>
    <row r="38" spans="1:22" x14ac:dyDescent="0.3">
      <c r="A38" s="3">
        <v>2013</v>
      </c>
      <c r="B38" s="3"/>
      <c r="C38" s="2">
        <v>73484.81355177454</v>
      </c>
      <c r="D38" s="2">
        <v>66536.158114349921</v>
      </c>
      <c r="E38" s="2">
        <v>18070.519135897484</v>
      </c>
      <c r="G38" s="1">
        <v>9561.4156036457025</v>
      </c>
      <c r="H38" s="1">
        <v>8425.6102943573351</v>
      </c>
      <c r="I38" s="1">
        <v>5059.4963777390858</v>
      </c>
      <c r="L38" s="2">
        <f t="shared" si="0"/>
        <v>181138.0130777641</v>
      </c>
      <c r="M38" s="4">
        <v>181138.01307776407</v>
      </c>
      <c r="O38" s="2">
        <f t="shared" si="1"/>
        <v>158091.49080202196</v>
      </c>
      <c r="P38" s="2">
        <f t="shared" si="2"/>
        <v>23046.522275742122</v>
      </c>
      <c r="R38">
        <v>113</v>
      </c>
      <c r="S38">
        <v>1</v>
      </c>
      <c r="T38" s="5" t="str">
        <f t="shared" si="3"/>
        <v>113,1,73485,66536,18071</v>
      </c>
      <c r="U38" s="5"/>
      <c r="V38" s="5" t="str">
        <f t="shared" si="4"/>
        <v>113,1,9561,8426,5059</v>
      </c>
    </row>
    <row r="39" spans="1:22" x14ac:dyDescent="0.3">
      <c r="A39" s="3">
        <v>2014</v>
      </c>
      <c r="B39" s="3"/>
      <c r="C39" s="2">
        <v>15834.694628395755</v>
      </c>
      <c r="D39" s="2">
        <v>81680.877623874054</v>
      </c>
      <c r="E39" s="2">
        <v>8853.8606503413175</v>
      </c>
      <c r="G39" s="1">
        <v>1711.083345083566</v>
      </c>
      <c r="H39" s="1">
        <v>10668.788021789172</v>
      </c>
      <c r="I39" s="1">
        <v>1723.5010373490181</v>
      </c>
      <c r="L39" s="2">
        <f t="shared" si="0"/>
        <v>120472.80530683289</v>
      </c>
      <c r="M39" s="4">
        <v>120472.80530683289</v>
      </c>
      <c r="O39" s="2">
        <f t="shared" si="1"/>
        <v>106369.43290261112</v>
      </c>
      <c r="P39" s="2">
        <f t="shared" si="2"/>
        <v>14103.372404221756</v>
      </c>
      <c r="R39">
        <v>114</v>
      </c>
      <c r="S39">
        <v>1</v>
      </c>
      <c r="T39" s="5" t="str">
        <f t="shared" si="3"/>
        <v>114,1,15835,81681,8854</v>
      </c>
      <c r="U39" s="5"/>
      <c r="V39" s="5" t="str">
        <f t="shared" si="4"/>
        <v>114,1,1711,10669,1724</v>
      </c>
    </row>
    <row r="40" spans="1:22" x14ac:dyDescent="0.3">
      <c r="A40" s="3">
        <v>2015</v>
      </c>
      <c r="B40" s="3"/>
      <c r="C40" s="2">
        <v>98429.71585439505</v>
      </c>
      <c r="D40" s="2">
        <v>51641.039323287376</v>
      </c>
      <c r="E40" s="2">
        <v>11975.97636266578</v>
      </c>
      <c r="G40" s="1">
        <v>11963.610185740868</v>
      </c>
      <c r="H40" s="1">
        <v>11945.344774753838</v>
      </c>
      <c r="I40" s="1">
        <v>4969.2599800457392</v>
      </c>
      <c r="L40" s="2">
        <f t="shared" si="0"/>
        <v>190924.94648088864</v>
      </c>
      <c r="M40" s="4">
        <v>190924.94648088867</v>
      </c>
      <c r="O40" s="2">
        <f t="shared" si="1"/>
        <v>162046.73154034821</v>
      </c>
      <c r="P40" s="2">
        <f t="shared" si="2"/>
        <v>28878.214940540445</v>
      </c>
      <c r="R40">
        <v>115</v>
      </c>
      <c r="S40">
        <v>1</v>
      </c>
      <c r="T40" s="5" t="str">
        <f t="shared" si="3"/>
        <v>115,1,98430,51641,11976</v>
      </c>
      <c r="U40" s="5"/>
      <c r="V40" s="5" t="str">
        <f t="shared" si="4"/>
        <v>115,1,11964,11945,4969</v>
      </c>
    </row>
    <row r="41" spans="1:22" x14ac:dyDescent="0.3">
      <c r="A41" s="3">
        <v>2016</v>
      </c>
      <c r="C41" s="2">
        <v>41625.307198654365</v>
      </c>
      <c r="D41" s="2">
        <v>88573.966616587903</v>
      </c>
      <c r="E41" s="2">
        <v>6495.9900678048834</v>
      </c>
      <c r="G41" s="1">
        <v>4309.5982909082932</v>
      </c>
      <c r="H41" s="1">
        <v>23386.986298424963</v>
      </c>
      <c r="I41" s="1">
        <v>1197.1169746419885</v>
      </c>
      <c r="L41" s="2">
        <f t="shared" si="0"/>
        <v>165588.9654470224</v>
      </c>
      <c r="M41" s="4">
        <v>165588.9654470224</v>
      </c>
      <c r="O41" s="2">
        <f t="shared" si="1"/>
        <v>136695.26388304716</v>
      </c>
      <c r="P41" s="2">
        <f t="shared" si="2"/>
        <v>28893.701563975243</v>
      </c>
      <c r="R41">
        <v>116</v>
      </c>
      <c r="S41">
        <v>1</v>
      </c>
      <c r="T41" s="5" t="str">
        <f t="shared" si="3"/>
        <v>116,1,41625,88574,6496</v>
      </c>
      <c r="U41" s="5"/>
      <c r="V41" s="5" t="str">
        <f t="shared" si="4"/>
        <v>116,1,4310,23387,1197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0"/>
  <sheetViews>
    <sheetView workbookViewId="0">
      <selection activeCell="E19" sqref="E19"/>
    </sheetView>
  </sheetViews>
  <sheetFormatPr defaultRowHeight="14.4" x14ac:dyDescent="0.3"/>
  <cols>
    <col min="3" max="4" width="10.5546875" bestFit="1" customWidth="1"/>
    <col min="5" max="8" width="15.21875" customWidth="1"/>
  </cols>
  <sheetData>
    <row r="2" spans="1:11" ht="15" thickBot="1" x14ac:dyDescent="0.35"/>
    <row r="3" spans="1:11" ht="18.75" customHeight="1" x14ac:dyDescent="0.3">
      <c r="A3" s="37" t="s">
        <v>59</v>
      </c>
      <c r="B3" s="100" t="s">
        <v>61</v>
      </c>
      <c r="C3" s="102" t="s">
        <v>62</v>
      </c>
      <c r="D3" s="39" t="s">
        <v>63</v>
      </c>
      <c r="E3" s="104" t="s">
        <v>65</v>
      </c>
      <c r="F3" s="105"/>
      <c r="G3" s="104" t="s">
        <v>66</v>
      </c>
      <c r="H3" s="105"/>
    </row>
    <row r="4" spans="1:11" ht="18.75" customHeight="1" thickBot="1" x14ac:dyDescent="0.35">
      <c r="A4" s="38" t="s">
        <v>60</v>
      </c>
      <c r="B4" s="101"/>
      <c r="C4" s="103"/>
      <c r="D4" s="40" t="s">
        <v>64</v>
      </c>
      <c r="E4" s="41" t="s">
        <v>67</v>
      </c>
      <c r="F4" s="42" t="s">
        <v>68</v>
      </c>
      <c r="G4" s="41" t="s">
        <v>67</v>
      </c>
      <c r="H4" s="42" t="s">
        <v>68</v>
      </c>
    </row>
    <row r="5" spans="1:11" ht="18.75" customHeight="1" x14ac:dyDescent="0.3">
      <c r="A5" s="43" t="s">
        <v>69</v>
      </c>
      <c r="B5" s="43">
        <v>5.524</v>
      </c>
      <c r="C5" s="44">
        <v>58593</v>
      </c>
      <c r="D5" s="45">
        <v>6472</v>
      </c>
      <c r="E5" s="46">
        <v>48121</v>
      </c>
      <c r="F5" s="47" t="s">
        <v>70</v>
      </c>
      <c r="G5" s="48">
        <v>48121</v>
      </c>
      <c r="H5" s="47" t="s">
        <v>71</v>
      </c>
    </row>
    <row r="6" spans="1:11" ht="18.75" customHeight="1" x14ac:dyDescent="0.3">
      <c r="A6" s="43" t="s">
        <v>72</v>
      </c>
      <c r="B6" s="43">
        <v>1.4</v>
      </c>
      <c r="C6" s="44">
        <v>102830</v>
      </c>
      <c r="D6" s="45">
        <v>42734</v>
      </c>
      <c r="E6" s="46">
        <v>68122</v>
      </c>
      <c r="F6" s="47" t="s">
        <v>70</v>
      </c>
      <c r="G6" s="48">
        <v>68122</v>
      </c>
      <c r="H6" s="47" t="s">
        <v>71</v>
      </c>
    </row>
    <row r="7" spans="1:11" ht="18.75" customHeight="1" thickBot="1" x14ac:dyDescent="0.35">
      <c r="A7" s="49" t="s">
        <v>73</v>
      </c>
      <c r="B7" s="49">
        <v>3</v>
      </c>
      <c r="C7" s="50">
        <v>86824</v>
      </c>
      <c r="D7" s="51">
        <v>42734</v>
      </c>
      <c r="E7" s="52">
        <v>68122</v>
      </c>
      <c r="F7" s="53" t="s">
        <v>70</v>
      </c>
      <c r="G7" s="54">
        <v>68122</v>
      </c>
      <c r="H7" s="53" t="s">
        <v>71</v>
      </c>
    </row>
    <row r="9" spans="1:11" x14ac:dyDescent="0.3">
      <c r="K9" s="56"/>
    </row>
    <row r="10" spans="1:11" x14ac:dyDescent="0.3">
      <c r="K10" s="56"/>
    </row>
    <row r="11" spans="1:11" x14ac:dyDescent="0.3">
      <c r="A11" s="75"/>
      <c r="B11" s="75"/>
      <c r="C11" s="75"/>
      <c r="D11" s="75"/>
      <c r="E11" s="75"/>
      <c r="F11" s="75"/>
      <c r="G11" s="75"/>
      <c r="H11" s="75"/>
      <c r="I11" s="75"/>
      <c r="J11" s="75"/>
      <c r="K11" s="56"/>
    </row>
    <row r="12" spans="1:11" x14ac:dyDescent="0.3">
      <c r="A12" s="75"/>
      <c r="B12" s="75"/>
      <c r="C12" s="75"/>
      <c r="D12" s="75"/>
      <c r="E12" s="75"/>
      <c r="F12" s="75"/>
      <c r="G12" s="75"/>
      <c r="H12" s="75"/>
      <c r="I12" s="75"/>
      <c r="J12" s="75"/>
      <c r="K12" s="56"/>
    </row>
    <row r="13" spans="1:11" x14ac:dyDescent="0.3">
      <c r="A13" s="75" t="s">
        <v>72</v>
      </c>
      <c r="B13" s="76">
        <f>habitat_bench!L22</f>
        <v>2.4581321141421513</v>
      </c>
      <c r="C13" s="77">
        <f>habitat_bench!H32</f>
        <v>45058.710450347498</v>
      </c>
      <c r="D13" s="77">
        <f>habitat_bench!C32</f>
        <v>14595.457403149889</v>
      </c>
      <c r="E13" s="77">
        <v>12000</v>
      </c>
      <c r="F13" s="75" t="s">
        <v>70</v>
      </c>
      <c r="G13" s="77">
        <v>15000</v>
      </c>
      <c r="H13" s="75" t="str">
        <f>H6</f>
        <v>75-78</v>
      </c>
      <c r="I13" s="75" t="s">
        <v>160</v>
      </c>
      <c r="J13" s="75"/>
      <c r="K13" s="56" t="s">
        <v>175</v>
      </c>
    </row>
    <row r="14" spans="1:11" x14ac:dyDescent="0.3">
      <c r="A14" s="75" t="s">
        <v>72</v>
      </c>
      <c r="B14" s="78">
        <f>'S-R_analysis_SMU'!O56</f>
        <v>1.1353056035364033</v>
      </c>
      <c r="C14" s="77">
        <f>'S-R_analysis_SMU'!O59</f>
        <v>23653.693512869901</v>
      </c>
      <c r="D14" s="77">
        <f>'S-R_analysis_SMU'!O60</f>
        <v>9947.0548011703795</v>
      </c>
      <c r="E14" s="77">
        <v>12000</v>
      </c>
      <c r="F14" s="75" t="str">
        <f>F6</f>
        <v>79-81</v>
      </c>
      <c r="G14" s="77">
        <v>15000</v>
      </c>
      <c r="H14" s="75" t="str">
        <f>H13</f>
        <v>75-78</v>
      </c>
      <c r="I14" s="75" t="s">
        <v>161</v>
      </c>
      <c r="J14" s="75"/>
      <c r="K14" s="56" t="s">
        <v>174</v>
      </c>
    </row>
    <row r="15" spans="1:11" x14ac:dyDescent="0.3">
      <c r="A15" s="75"/>
      <c r="B15" s="75"/>
      <c r="C15" s="75"/>
      <c r="D15" s="75"/>
      <c r="E15" s="75"/>
      <c r="F15" s="75"/>
      <c r="G15" s="75"/>
      <c r="H15" s="75"/>
      <c r="I15" s="75"/>
      <c r="J15" s="75"/>
      <c r="K15" s="56"/>
    </row>
    <row r="16" spans="1:11" x14ac:dyDescent="0.3">
      <c r="K16" s="56"/>
    </row>
    <row r="17" spans="1:11" x14ac:dyDescent="0.3">
      <c r="C17" s="1"/>
      <c r="D17" s="1"/>
      <c r="K17" s="56"/>
    </row>
    <row r="18" spans="1:11" x14ac:dyDescent="0.3">
      <c r="A18" s="56"/>
      <c r="B18" s="56"/>
      <c r="C18" s="4"/>
      <c r="D18" s="4"/>
      <c r="E18" s="56"/>
      <c r="F18" s="56"/>
      <c r="G18" s="56"/>
      <c r="H18" s="56"/>
      <c r="I18" s="56"/>
    </row>
    <row r="19" spans="1:11" x14ac:dyDescent="0.3">
      <c r="A19" s="56"/>
      <c r="B19" s="83"/>
      <c r="C19" s="4"/>
      <c r="D19" s="4"/>
      <c r="E19" s="4"/>
      <c r="F19" s="84"/>
      <c r="G19" s="56"/>
      <c r="H19" s="56"/>
      <c r="I19" s="56"/>
    </row>
    <row r="20" spans="1:11" x14ac:dyDescent="0.3">
      <c r="A20" s="56"/>
      <c r="B20" s="56"/>
      <c r="C20" s="56"/>
      <c r="D20" s="56"/>
      <c r="E20" s="56"/>
      <c r="F20" s="56"/>
      <c r="G20" s="56"/>
      <c r="H20" s="56"/>
      <c r="I20" s="56"/>
    </row>
  </sheetData>
  <mergeCells count="4">
    <mergeCell ref="B3:B4"/>
    <mergeCell ref="C3:C4"/>
    <mergeCell ref="E3:F3"/>
    <mergeCell ref="G3:H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0"/>
  <sheetViews>
    <sheetView workbookViewId="0">
      <selection activeCell="E17" sqref="E17"/>
    </sheetView>
  </sheetViews>
  <sheetFormatPr defaultRowHeight="14.4" x14ac:dyDescent="0.3"/>
  <cols>
    <col min="1" max="1" width="12.77734375" customWidth="1"/>
    <col min="2" max="2" width="9.5546875" bestFit="1" customWidth="1"/>
  </cols>
  <sheetData>
    <row r="2" spans="1:3" x14ac:dyDescent="0.3">
      <c r="B2" t="s">
        <v>15</v>
      </c>
      <c r="C2" t="s">
        <v>31</v>
      </c>
    </row>
    <row r="3" spans="1:3" x14ac:dyDescent="0.3">
      <c r="A3" t="s">
        <v>205</v>
      </c>
      <c r="B3" s="1">
        <f>'S-R_analysis_SMU'!O60</f>
        <v>9947.0548011703795</v>
      </c>
      <c r="C3" s="74">
        <f>'S-R_analysis_SMU'!O58</f>
        <v>0.47742848482872069</v>
      </c>
    </row>
    <row r="4" spans="1:3" x14ac:dyDescent="0.3">
      <c r="A4" t="s">
        <v>206</v>
      </c>
      <c r="B4" s="1">
        <f>habitat_bench!C22</f>
        <v>20243.857403149887</v>
      </c>
      <c r="C4" s="74">
        <f>habitat_bench!N22</f>
        <v>0.80609711273068818</v>
      </c>
    </row>
    <row r="5" spans="1:3" x14ac:dyDescent="0.3">
      <c r="A5" t="s">
        <v>207</v>
      </c>
      <c r="B5" s="1">
        <f>'S-R SWVI'!O60</f>
        <v>368.73264191157978</v>
      </c>
      <c r="C5" s="74">
        <f>'S-R SWVI'!O58</f>
        <v>0.36107112689097937</v>
      </c>
    </row>
    <row r="6" spans="1:3" x14ac:dyDescent="0.3">
      <c r="A6" t="s">
        <v>208</v>
      </c>
      <c r="B6" s="1">
        <f>SUM(habitat_bench!C12,habitat_bench!C14:C15)</f>
        <v>2381</v>
      </c>
      <c r="C6" s="74">
        <f>AVERAGE(habitat_bench!N12,habitat_bench!N15:N16)</f>
        <v>0.82196811944692338</v>
      </c>
    </row>
    <row r="7" spans="1:3" x14ac:dyDescent="0.3">
      <c r="A7" t="s">
        <v>209</v>
      </c>
      <c r="B7" s="1">
        <f>'S-R_NO_KY'!O60</f>
        <v>458.13379450868268</v>
      </c>
      <c r="C7" s="74">
        <f>'S-R_NO_KY'!O58</f>
        <v>0.61414660818790034</v>
      </c>
    </row>
    <row r="8" spans="1:3" x14ac:dyDescent="0.3">
      <c r="A8" t="s">
        <v>210</v>
      </c>
      <c r="B8" s="1">
        <f>SUM(habitat_bench!C4,habitat_bench!C7,habitat_bench!C10)</f>
        <v>2027</v>
      </c>
      <c r="C8" s="74">
        <f>AVERAGE(habitat_bench!N4,habitat_bench!N7,habitat_bench!N10)</f>
        <v>0.82772152255193865</v>
      </c>
    </row>
    <row r="9" spans="1:3" x14ac:dyDescent="0.3">
      <c r="A9" t="s">
        <v>211</v>
      </c>
      <c r="B9" s="1">
        <f>'S-R-NWV('!O60</f>
        <v>1596.6461473773127</v>
      </c>
      <c r="C9" s="74">
        <f>'S-R-NWV('!O58</f>
        <v>0.57284488413590451</v>
      </c>
    </row>
    <row r="10" spans="1:3" x14ac:dyDescent="0.3">
      <c r="A10" t="s">
        <v>212</v>
      </c>
      <c r="B10" s="1">
        <f>SUM(habitat_bench!C20:C21)</f>
        <v>1594.8574031498865</v>
      </c>
      <c r="C10" s="74">
        <f>AVERAGE(habitat_bench!N20:N21)</f>
        <v>0.82533932861141834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E91"/>
  <sheetViews>
    <sheetView zoomScale="110" zoomScaleNormal="110" workbookViewId="0">
      <pane xSplit="2" ySplit="3" topLeftCell="C31" activePane="bottomRight" state="frozen"/>
      <selection pane="topRight" activeCell="D1" sqref="D1"/>
      <selection pane="bottomLeft" activeCell="A4" sqref="A4"/>
      <selection pane="bottomRight" activeCell="B9" sqref="B9"/>
    </sheetView>
  </sheetViews>
  <sheetFormatPr defaultRowHeight="14.4" x14ac:dyDescent="0.3"/>
  <cols>
    <col min="2" max="2" width="10.5546875" bestFit="1" customWidth="1"/>
    <col min="3" max="6" width="9" customWidth="1"/>
    <col min="15" max="15" width="11.5546875" bestFit="1" customWidth="1"/>
    <col min="16" max="17" width="12.77734375" bestFit="1" customWidth="1"/>
    <col min="18" max="18" width="12" bestFit="1" customWidth="1"/>
    <col min="19" max="19" width="12.77734375" bestFit="1" customWidth="1"/>
    <col min="20" max="20" width="11.5546875" bestFit="1" customWidth="1"/>
  </cols>
  <sheetData>
    <row r="1" spans="1:25" x14ac:dyDescent="0.3">
      <c r="C1" t="s">
        <v>152</v>
      </c>
      <c r="S1" s="73">
        <f>O56</f>
        <v>1.1353056035364033</v>
      </c>
      <c r="T1" s="73"/>
    </row>
    <row r="2" spans="1:25" x14ac:dyDescent="0.3">
      <c r="A2" t="s">
        <v>204</v>
      </c>
      <c r="B2" t="s">
        <v>150</v>
      </c>
      <c r="C2" t="s">
        <v>170</v>
      </c>
      <c r="G2" t="s">
        <v>153</v>
      </c>
      <c r="K2" t="s">
        <v>154</v>
      </c>
      <c r="O2" t="s">
        <v>172</v>
      </c>
      <c r="S2" s="73">
        <f>-O55</f>
        <v>4.7996969391638012E-5</v>
      </c>
      <c r="T2" s="73"/>
    </row>
    <row r="3" spans="1:25" x14ac:dyDescent="0.3">
      <c r="A3" t="s">
        <v>12</v>
      </c>
      <c r="B3" t="s">
        <v>151</v>
      </c>
      <c r="C3">
        <v>2</v>
      </c>
      <c r="D3">
        <v>3</v>
      </c>
      <c r="E3">
        <v>4</v>
      </c>
      <c r="F3">
        <v>5</v>
      </c>
      <c r="G3">
        <v>2</v>
      </c>
      <c r="H3">
        <v>3</v>
      </c>
      <c r="I3">
        <v>4</v>
      </c>
      <c r="J3">
        <v>5</v>
      </c>
      <c r="K3">
        <v>2</v>
      </c>
      <c r="L3">
        <v>3</v>
      </c>
      <c r="M3">
        <v>4</v>
      </c>
      <c r="N3">
        <v>5</v>
      </c>
      <c r="P3" t="s">
        <v>156</v>
      </c>
      <c r="Q3" t="s">
        <v>155</v>
      </c>
      <c r="R3" t="s">
        <v>171</v>
      </c>
      <c r="S3" t="s">
        <v>173</v>
      </c>
    </row>
    <row r="4" spans="1:25" x14ac:dyDescent="0.3">
      <c r="A4">
        <v>1979</v>
      </c>
      <c r="B4" s="1">
        <v>8470.6594610601132</v>
      </c>
      <c r="C4" s="1"/>
      <c r="O4">
        <f>A4</f>
        <v>1979</v>
      </c>
      <c r="P4" s="2">
        <f>SUM(C4:F4,K4:N4)</f>
        <v>0</v>
      </c>
    </row>
    <row r="5" spans="1:25" x14ac:dyDescent="0.3">
      <c r="A5">
        <v>1980</v>
      </c>
      <c r="B5" s="1">
        <v>12559.434409238969</v>
      </c>
      <c r="C5" s="1"/>
      <c r="O5">
        <f t="shared" ref="O5:O45" si="0">A5</f>
        <v>1980</v>
      </c>
      <c r="P5" s="2">
        <f t="shared" ref="P5:P6" si="1">SUM(C5:F5,K5:N5)</f>
        <v>0</v>
      </c>
    </row>
    <row r="6" spans="1:25" x14ac:dyDescent="0.3">
      <c r="A6">
        <v>1981</v>
      </c>
      <c r="B6" s="1">
        <v>9040.406425821735</v>
      </c>
      <c r="C6" s="1"/>
      <c r="O6">
        <f t="shared" si="0"/>
        <v>1981</v>
      </c>
      <c r="P6" s="2">
        <f t="shared" si="1"/>
        <v>0</v>
      </c>
    </row>
    <row r="7" spans="1:25" x14ac:dyDescent="0.3">
      <c r="A7">
        <v>1982</v>
      </c>
      <c r="B7" s="1">
        <v>12240.788421676043</v>
      </c>
      <c r="C7" s="1"/>
      <c r="O7">
        <f t="shared" si="0"/>
        <v>1982</v>
      </c>
      <c r="P7" s="2"/>
    </row>
    <row r="8" spans="1:25" x14ac:dyDescent="0.3">
      <c r="A8">
        <v>1983</v>
      </c>
      <c r="B8" s="1">
        <v>8072.411755996447</v>
      </c>
      <c r="C8" s="1"/>
      <c r="G8" s="9"/>
      <c r="H8" s="9"/>
      <c r="I8" s="9"/>
      <c r="J8" s="9"/>
      <c r="O8">
        <f t="shared" si="0"/>
        <v>1983</v>
      </c>
      <c r="P8" s="2"/>
    </row>
    <row r="9" spans="1:25" x14ac:dyDescent="0.3">
      <c r="A9">
        <v>1984</v>
      </c>
      <c r="B9" s="1">
        <v>11335.424933372815</v>
      </c>
      <c r="C9" s="1"/>
      <c r="G9" s="9">
        <v>5.5736389999999997E-2</v>
      </c>
      <c r="H9" s="9">
        <v>0.19041469999999999</v>
      </c>
      <c r="I9" s="9">
        <v>0.48755700000000002</v>
      </c>
      <c r="J9" s="9">
        <v>0.50445640000000003</v>
      </c>
      <c r="K9" s="1">
        <f t="shared" ref="K9:K11" si="2">(G9*C9)/(1-G9)</f>
        <v>0</v>
      </c>
      <c r="L9" s="1">
        <f t="shared" ref="L9:L11" si="3">(H9*D9)/(1-H9)</f>
        <v>0</v>
      </c>
      <c r="M9" s="1">
        <f t="shared" ref="M9:M11" si="4">(I9*E9)/(1-I9)</f>
        <v>0</v>
      </c>
      <c r="N9" s="1">
        <f t="shared" ref="N9:N11" si="5">(J9*F9)/(1-J9)</f>
        <v>0</v>
      </c>
      <c r="O9">
        <f t="shared" si="0"/>
        <v>1984</v>
      </c>
      <c r="P9" s="2"/>
      <c r="V9" s="9"/>
      <c r="W9" s="9"/>
      <c r="X9" s="9"/>
      <c r="Y9" s="9"/>
    </row>
    <row r="10" spans="1:25" x14ac:dyDescent="0.3">
      <c r="A10">
        <v>1985</v>
      </c>
      <c r="B10" s="2">
        <f t="shared" ref="B10:B43" si="6">SUM(C10:F10)</f>
        <v>6580.6793045863396</v>
      </c>
      <c r="C10" s="1">
        <v>63.455927938709159</v>
      </c>
      <c r="D10" s="1">
        <v>2976.0002936508959</v>
      </c>
      <c r="E10" s="1">
        <v>2827.8190758134406</v>
      </c>
      <c r="F10" s="1">
        <v>713.40400718329397</v>
      </c>
      <c r="G10" s="9">
        <v>0.104335</v>
      </c>
      <c r="H10" s="9">
        <v>0.31095400000000001</v>
      </c>
      <c r="I10" s="9">
        <v>0.30804219999999999</v>
      </c>
      <c r="J10" s="9">
        <v>0.50897250000000005</v>
      </c>
      <c r="K10" s="1">
        <f t="shared" si="2"/>
        <v>7.3919090748049987</v>
      </c>
      <c r="L10" s="1">
        <f t="shared" si="3"/>
        <v>1343.0151184564174</v>
      </c>
      <c r="M10" s="1">
        <f t="shared" si="4"/>
        <v>1258.8738927656268</v>
      </c>
      <c r="N10" s="1">
        <f t="shared" si="5"/>
        <v>739.47593779594661</v>
      </c>
      <c r="O10">
        <f t="shared" si="0"/>
        <v>1985</v>
      </c>
      <c r="P10" s="2">
        <f>SUM(F15,E14,D13,C12,K12,L13,M14,N15)</f>
        <v>13615.784306188794</v>
      </c>
      <c r="Q10" s="9">
        <f>P10/B10</f>
        <v>2.069054527045469</v>
      </c>
      <c r="R10" s="9">
        <f t="shared" ref="R10:R11" si="7">LN(Q10)</f>
        <v>0.72709175271554261</v>
      </c>
      <c r="S10" s="74">
        <f t="shared" ref="S10:S11" si="8">B10*EXP($S$1-$S$2*B10)</f>
        <v>14933.259673546288</v>
      </c>
      <c r="T10" s="1">
        <f t="shared" ref="T10:T11" si="9">P10-S10</f>
        <v>-1317.4753673574942</v>
      </c>
      <c r="V10" s="9"/>
      <c r="W10" s="9"/>
      <c r="X10" s="9"/>
      <c r="Y10" s="9"/>
    </row>
    <row r="11" spans="1:25" x14ac:dyDescent="0.3">
      <c r="A11">
        <v>1986</v>
      </c>
      <c r="B11" s="2">
        <f t="shared" si="6"/>
        <v>6493.960083355978</v>
      </c>
      <c r="C11" s="1">
        <v>1206.1670506390544</v>
      </c>
      <c r="D11" s="1">
        <v>221.09796059621397</v>
      </c>
      <c r="E11" s="1">
        <v>4267.5458169536705</v>
      </c>
      <c r="F11" s="1">
        <v>799.14925516703852</v>
      </c>
      <c r="G11" s="9">
        <v>4.1086009999999999E-2</v>
      </c>
      <c r="H11" s="9">
        <v>0.2045862</v>
      </c>
      <c r="I11" s="9">
        <v>0.29562169999999999</v>
      </c>
      <c r="J11" s="9">
        <v>0.38931110000000002</v>
      </c>
      <c r="K11" s="1">
        <f t="shared" si="2"/>
        <v>51.679912923396493</v>
      </c>
      <c r="L11" s="1">
        <f t="shared" si="3"/>
        <v>56.867999506834245</v>
      </c>
      <c r="M11" s="1">
        <f t="shared" si="4"/>
        <v>1791.0534001909666</v>
      </c>
      <c r="N11" s="1">
        <f t="shared" si="5"/>
        <v>509.45362785087542</v>
      </c>
      <c r="O11">
        <f t="shared" si="0"/>
        <v>1986</v>
      </c>
      <c r="P11" s="2">
        <f t="shared" ref="P11:P38" si="10">SUM(F16,E15,D14,C13,K13,L14,M15,N16)</f>
        <v>18359.392336202622</v>
      </c>
      <c r="Q11" s="9">
        <f t="shared" ref="Q11:Q38" si="11">P11/B11</f>
        <v>2.8271489354019517</v>
      </c>
      <c r="R11" s="9">
        <f t="shared" si="7"/>
        <v>1.0392687605221689</v>
      </c>
      <c r="S11" s="74">
        <f t="shared" si="8"/>
        <v>14797.936230337937</v>
      </c>
      <c r="T11" s="1">
        <f t="shared" si="9"/>
        <v>3561.456105864685</v>
      </c>
      <c r="V11" s="9"/>
      <c r="W11" s="9"/>
      <c r="X11" s="9"/>
      <c r="Y11" s="9"/>
    </row>
    <row r="12" spans="1:25" x14ac:dyDescent="0.3">
      <c r="A12">
        <v>1987</v>
      </c>
      <c r="B12" s="2">
        <f t="shared" si="6"/>
        <v>5062.4478573516726</v>
      </c>
      <c r="C12" s="1">
        <v>306.22271466605997</v>
      </c>
      <c r="D12" s="1">
        <v>4308.3814597621167</v>
      </c>
      <c r="E12" s="1">
        <v>158.93681468969234</v>
      </c>
      <c r="F12" s="1">
        <v>288.90686823380378</v>
      </c>
      <c r="G12" s="9">
        <v>3.5541059999999999E-2</v>
      </c>
      <c r="H12" s="9">
        <v>0.122976</v>
      </c>
      <c r="I12" s="9">
        <v>0.2822519</v>
      </c>
      <c r="J12" s="9">
        <v>0.43342900000000001</v>
      </c>
      <c r="K12" s="1">
        <f>(G12*C12)/(1-G12)</f>
        <v>11.284544550242147</v>
      </c>
      <c r="L12" s="1">
        <f t="shared" ref="L12:N12" si="12">(H12*D12)/(1-H12)</f>
        <v>604.11974859947509</v>
      </c>
      <c r="M12" s="1">
        <f t="shared" si="12"/>
        <v>62.501339851841571</v>
      </c>
      <c r="N12" s="1">
        <f t="shared" si="12"/>
        <v>221.01486837785441</v>
      </c>
      <c r="O12">
        <f t="shared" si="0"/>
        <v>1987</v>
      </c>
      <c r="P12" s="2">
        <f t="shared" si="10"/>
        <v>15754.281721012991</v>
      </c>
      <c r="Q12" s="9">
        <f t="shared" si="11"/>
        <v>3.1119889359718869</v>
      </c>
      <c r="R12" s="9">
        <f>LN(Q12)</f>
        <v>1.1352620510308684</v>
      </c>
      <c r="S12" s="74">
        <f>B12*EXP($S$1-$S$2*B12)</f>
        <v>12356.393003919409</v>
      </c>
      <c r="T12" s="1">
        <f>P12-S12</f>
        <v>3397.8887170935814</v>
      </c>
      <c r="V12" s="9"/>
      <c r="W12" s="9"/>
      <c r="X12" s="9"/>
      <c r="Y12" s="9"/>
    </row>
    <row r="13" spans="1:25" x14ac:dyDescent="0.3">
      <c r="A13">
        <v>1988</v>
      </c>
      <c r="B13" s="2">
        <f t="shared" si="6"/>
        <v>10122.607662435004</v>
      </c>
      <c r="C13" s="1">
        <v>1166.6985946385969</v>
      </c>
      <c r="D13" s="1">
        <v>2099.376570916289</v>
      </c>
      <c r="E13" s="1">
        <v>6759.535624214338</v>
      </c>
      <c r="F13" s="1">
        <v>96.996872665781055</v>
      </c>
      <c r="G13" s="9">
        <v>3.9083630000000001E-2</v>
      </c>
      <c r="H13" s="9">
        <v>0.1041262</v>
      </c>
      <c r="I13" s="9">
        <v>0.26211849999999998</v>
      </c>
      <c r="J13" s="9">
        <v>0.44390420000000003</v>
      </c>
      <c r="K13" s="1">
        <f t="shared" ref="K13:K43" si="13">(G13*C13)/(1-G13)</f>
        <v>47.453470060432949</v>
      </c>
      <c r="L13" s="1">
        <f t="shared" ref="L13:L45" si="14">(H13*D13)/(1-H13)</f>
        <v>244.00769918546979</v>
      </c>
      <c r="M13" s="1">
        <f t="shared" ref="M13:M45" si="15">(I13*E13)/(1-I13)</f>
        <v>2401.1976699722459</v>
      </c>
      <c r="N13" s="1">
        <f t="shared" ref="N13:N45" si="16">(J13*F13)/(1-J13)</f>
        <v>77.42788052563138</v>
      </c>
      <c r="O13">
        <f t="shared" si="0"/>
        <v>1988</v>
      </c>
      <c r="P13" s="2">
        <f t="shared" si="10"/>
        <v>24149.417744552433</v>
      </c>
      <c r="Q13" s="9">
        <f t="shared" si="11"/>
        <v>2.3856913702356479</v>
      </c>
      <c r="R13" s="9">
        <f t="shared" ref="R13:R39" si="17">LN(Q13)</f>
        <v>0.86948896503081807</v>
      </c>
      <c r="S13" s="74">
        <f t="shared" ref="S13:S38" si="18">B13*EXP($S$1-$S$2*B13)</f>
        <v>19379.628135418829</v>
      </c>
      <c r="T13" s="1">
        <f t="shared" ref="T13:T39" si="19">S13-P13</f>
        <v>-4769.7896091336042</v>
      </c>
      <c r="V13" s="9"/>
      <c r="W13" s="9"/>
      <c r="X13" s="9"/>
      <c r="Y13" s="9"/>
    </row>
    <row r="14" spans="1:25" x14ac:dyDescent="0.3">
      <c r="A14">
        <v>1989</v>
      </c>
      <c r="B14" s="2">
        <f t="shared" si="6"/>
        <v>10185.482380811371</v>
      </c>
      <c r="C14" s="1">
        <v>86.172772658869903</v>
      </c>
      <c r="D14" s="1">
        <v>741.96477997843522</v>
      </c>
      <c r="E14" s="1">
        <v>1178.4109409476055</v>
      </c>
      <c r="F14" s="1">
        <v>8178.9338872264598</v>
      </c>
      <c r="G14" s="9">
        <v>5.4905809999999999E-2</v>
      </c>
      <c r="H14" s="9">
        <v>0.1086848</v>
      </c>
      <c r="I14" s="9">
        <v>0.2256223</v>
      </c>
      <c r="J14" s="9">
        <v>0.35944100000000001</v>
      </c>
      <c r="K14" s="1">
        <f t="shared" si="13"/>
        <v>5.0062585643247948</v>
      </c>
      <c r="L14" s="1">
        <f t="shared" si="14"/>
        <v>90.473374311355002</v>
      </c>
      <c r="M14" s="1">
        <f t="shared" si="15"/>
        <v>343.34122333554143</v>
      </c>
      <c r="N14" s="1">
        <f t="shared" si="16"/>
        <v>4589.4978844393199</v>
      </c>
      <c r="O14">
        <f t="shared" si="0"/>
        <v>1989</v>
      </c>
      <c r="P14" s="2">
        <f t="shared" si="10"/>
        <v>24371.312181353504</v>
      </c>
      <c r="Q14" s="9">
        <f t="shared" si="11"/>
        <v>2.3927499228968374</v>
      </c>
      <c r="R14" s="9">
        <f t="shared" si="17"/>
        <v>0.87244329987021818</v>
      </c>
      <c r="S14" s="74">
        <f t="shared" si="18"/>
        <v>19441.242817088783</v>
      </c>
      <c r="T14" s="1">
        <f t="shared" si="19"/>
        <v>-4930.0693642647202</v>
      </c>
      <c r="V14" s="9"/>
      <c r="W14" s="9"/>
      <c r="X14" s="9"/>
      <c r="Y14" s="9"/>
    </row>
    <row r="15" spans="1:25" x14ac:dyDescent="0.3">
      <c r="A15">
        <v>1990</v>
      </c>
      <c r="B15" s="2">
        <f t="shared" si="6"/>
        <v>10638.301450992005</v>
      </c>
      <c r="C15" s="1">
        <v>349.08544655399203</v>
      </c>
      <c r="D15" s="1">
        <v>1170.0237838141234</v>
      </c>
      <c r="E15" s="1">
        <v>3729.1277472694264</v>
      </c>
      <c r="F15" s="1">
        <v>5390.0644733544632</v>
      </c>
      <c r="G15" s="9">
        <v>4.4886769999999999E-2</v>
      </c>
      <c r="H15" s="9">
        <v>0.151058</v>
      </c>
      <c r="I15" s="9">
        <v>0.2635864</v>
      </c>
      <c r="J15" s="9">
        <v>0.42860340000000002</v>
      </c>
      <c r="K15" s="1">
        <f t="shared" si="13"/>
        <v>16.405717832865044</v>
      </c>
      <c r="L15" s="1">
        <f t="shared" si="14"/>
        <v>208.19025650208593</v>
      </c>
      <c r="M15" s="1">
        <f t="shared" si="15"/>
        <v>1334.7762154893092</v>
      </c>
      <c r="N15" s="1">
        <f t="shared" si="16"/>
        <v>4043.0761392331224</v>
      </c>
      <c r="O15">
        <f t="shared" si="0"/>
        <v>1990</v>
      </c>
      <c r="P15" s="2">
        <f t="shared" si="10"/>
        <v>14245.089209705162</v>
      </c>
      <c r="Q15" s="9">
        <f t="shared" si="11"/>
        <v>1.3390379352689643</v>
      </c>
      <c r="R15" s="9">
        <f t="shared" si="17"/>
        <v>0.29195139735250186</v>
      </c>
      <c r="S15" s="74">
        <f t="shared" si="18"/>
        <v>19868.989655177935</v>
      </c>
      <c r="T15" s="1">
        <f t="shared" si="19"/>
        <v>5623.9004454727728</v>
      </c>
      <c r="V15" s="9"/>
      <c r="W15" s="9"/>
      <c r="X15" s="9"/>
      <c r="Y15" s="9"/>
    </row>
    <row r="16" spans="1:25" x14ac:dyDescent="0.3">
      <c r="A16">
        <v>1991</v>
      </c>
      <c r="B16" s="2">
        <f t="shared" si="6"/>
        <v>11163.471276280721</v>
      </c>
      <c r="C16" s="1">
        <v>278.50444805518646</v>
      </c>
      <c r="D16" s="1">
        <v>1929.2296524876738</v>
      </c>
      <c r="E16" s="1">
        <v>2579.1316483025066</v>
      </c>
      <c r="F16" s="1">
        <v>6376.6055274353557</v>
      </c>
      <c r="G16" s="9">
        <v>4.530091E-2</v>
      </c>
      <c r="H16" s="9">
        <v>0.12982540000000001</v>
      </c>
      <c r="I16" s="9">
        <v>0.30885940000000001</v>
      </c>
      <c r="J16" s="9">
        <v>0.4331351</v>
      </c>
      <c r="K16" s="1">
        <f t="shared" si="13"/>
        <v>13.215163885772299</v>
      </c>
      <c r="L16" s="1">
        <f t="shared" si="14"/>
        <v>287.83075411081091</v>
      </c>
      <c r="M16" s="1">
        <f t="shared" si="15"/>
        <v>1152.5716379789051</v>
      </c>
      <c r="N16" s="1">
        <f t="shared" si="16"/>
        <v>4872.2926270197104</v>
      </c>
      <c r="O16">
        <f t="shared" si="0"/>
        <v>1991</v>
      </c>
      <c r="P16" s="2">
        <f t="shared" si="10"/>
        <v>9275.2378892849811</v>
      </c>
      <c r="Q16" s="9">
        <f t="shared" si="11"/>
        <v>0.83085607153325935</v>
      </c>
      <c r="R16" s="9">
        <f t="shared" si="17"/>
        <v>-0.18529869824500622</v>
      </c>
      <c r="S16" s="74">
        <f t="shared" si="18"/>
        <v>20330.856756660287</v>
      </c>
      <c r="T16" s="1">
        <f t="shared" si="19"/>
        <v>11055.618867375306</v>
      </c>
      <c r="V16" s="9"/>
      <c r="W16" s="9"/>
      <c r="X16" s="9"/>
      <c r="Y16" s="9"/>
    </row>
    <row r="17" spans="1:31" x14ac:dyDescent="0.3">
      <c r="A17">
        <v>1992</v>
      </c>
      <c r="B17" s="2">
        <f t="shared" si="6"/>
        <v>14308.597867930115</v>
      </c>
      <c r="C17" s="1">
        <v>106.79605185077321</v>
      </c>
      <c r="D17" s="1">
        <v>2966.2521919942246</v>
      </c>
      <c r="E17" s="1">
        <v>6310.2154960287353</v>
      </c>
      <c r="F17" s="1">
        <v>4925.3341280563809</v>
      </c>
      <c r="G17" s="9">
        <v>6.3808900000000002E-2</v>
      </c>
      <c r="H17" s="9">
        <v>0.27280599999999999</v>
      </c>
      <c r="I17" s="9">
        <v>0.35595490000000002</v>
      </c>
      <c r="J17" s="9">
        <v>0.5332846</v>
      </c>
      <c r="K17" s="1">
        <f t="shared" si="13"/>
        <v>7.2790038197765421</v>
      </c>
      <c r="L17" s="1">
        <f t="shared" si="14"/>
        <v>1112.7861278959624</v>
      </c>
      <c r="M17" s="1">
        <f t="shared" si="15"/>
        <v>3487.5696218593366</v>
      </c>
      <c r="N17" s="1">
        <f t="shared" si="16"/>
        <v>5627.8512351357931</v>
      </c>
      <c r="O17">
        <f t="shared" si="0"/>
        <v>1992</v>
      </c>
      <c r="P17" s="2">
        <f t="shared" si="10"/>
        <v>8749.8744954183676</v>
      </c>
      <c r="Q17" s="9">
        <f t="shared" si="11"/>
        <v>0.61151166425813641</v>
      </c>
      <c r="R17" s="9">
        <f t="shared" si="17"/>
        <v>-0.49182124920750042</v>
      </c>
      <c r="S17" s="74">
        <f t="shared" si="18"/>
        <v>22407.525801716081</v>
      </c>
      <c r="T17" s="1">
        <f t="shared" si="19"/>
        <v>13657.651306297714</v>
      </c>
      <c r="V17" s="9"/>
      <c r="W17" s="9"/>
      <c r="X17" s="9"/>
      <c r="Y17" s="9"/>
    </row>
    <row r="18" spans="1:31" x14ac:dyDescent="0.3">
      <c r="A18">
        <v>1993</v>
      </c>
      <c r="B18" s="2">
        <f t="shared" si="6"/>
        <v>12411</v>
      </c>
      <c r="C18" s="1">
        <v>59.797838305311707</v>
      </c>
      <c r="D18" s="1">
        <v>1150.2717442341277</v>
      </c>
      <c r="E18" s="1">
        <v>5080.4445295249061</v>
      </c>
      <c r="F18" s="1">
        <v>6120.4858879356552</v>
      </c>
      <c r="G18" s="9">
        <v>4.2496369999999999E-2</v>
      </c>
      <c r="H18" s="9">
        <v>0.11691360000000001</v>
      </c>
      <c r="I18" s="9">
        <v>0.35909419999999997</v>
      </c>
      <c r="J18" s="9">
        <v>0.47995209999999999</v>
      </c>
      <c r="K18" s="1">
        <f t="shared" si="13"/>
        <v>2.6539753816105107</v>
      </c>
      <c r="L18" s="1">
        <f t="shared" si="14"/>
        <v>152.28680975801589</v>
      </c>
      <c r="M18" s="1">
        <f t="shared" si="15"/>
        <v>2846.5309004445303</v>
      </c>
      <c r="N18" s="1">
        <f t="shared" si="16"/>
        <v>5648.5951677433604</v>
      </c>
      <c r="O18">
        <f t="shared" si="0"/>
        <v>1993</v>
      </c>
      <c r="P18" s="2">
        <f t="shared" si="10"/>
        <v>35309.128075744498</v>
      </c>
      <c r="Q18" s="9">
        <f t="shared" si="11"/>
        <v>2.8449865502976794</v>
      </c>
      <c r="R18" s="9">
        <f t="shared" si="17"/>
        <v>1.045558340079485</v>
      </c>
      <c r="S18" s="74">
        <f t="shared" si="18"/>
        <v>21289.167868058026</v>
      </c>
      <c r="T18" s="1">
        <f t="shared" si="19"/>
        <v>-14019.960207686472</v>
      </c>
      <c r="V18" s="9"/>
      <c r="W18" s="9"/>
      <c r="X18" s="9"/>
      <c r="Y18" s="9"/>
    </row>
    <row r="19" spans="1:31" x14ac:dyDescent="0.3">
      <c r="A19">
        <v>1994</v>
      </c>
      <c r="B19" s="2">
        <f t="shared" si="6"/>
        <v>12248</v>
      </c>
      <c r="C19" s="1">
        <v>203.8422601141898</v>
      </c>
      <c r="D19" s="1">
        <v>769.1485311306933</v>
      </c>
      <c r="E19" s="1">
        <v>4601.1296433336611</v>
      </c>
      <c r="F19" s="1">
        <v>6673.8795654214555</v>
      </c>
      <c r="G19" s="9">
        <v>1.1828679999999999E-2</v>
      </c>
      <c r="H19" s="9">
        <v>0.29007139999999998</v>
      </c>
      <c r="I19" s="9">
        <v>0.2837211</v>
      </c>
      <c r="J19" s="9">
        <v>0.44723269999999998</v>
      </c>
      <c r="K19" s="1">
        <f t="shared" si="13"/>
        <v>2.4400474053097541</v>
      </c>
      <c r="L19" s="1">
        <f t="shared" si="14"/>
        <v>314.26821124409378</v>
      </c>
      <c r="M19" s="1">
        <f t="shared" si="15"/>
        <v>1822.526900693618</v>
      </c>
      <c r="N19" s="1">
        <f t="shared" si="16"/>
        <v>5399.6992541314658</v>
      </c>
      <c r="O19">
        <f t="shared" si="0"/>
        <v>1994</v>
      </c>
      <c r="P19" s="2">
        <f t="shared" si="10"/>
        <v>56646.806756607446</v>
      </c>
      <c r="Q19" s="9">
        <f t="shared" si="11"/>
        <v>4.6249842224532536</v>
      </c>
      <c r="R19" s="9">
        <f t="shared" si="17"/>
        <v>1.531472959597111</v>
      </c>
      <c r="S19" s="74">
        <f t="shared" si="18"/>
        <v>21174.579473861235</v>
      </c>
      <c r="T19" s="1">
        <f t="shared" si="19"/>
        <v>-35472.227282746215</v>
      </c>
      <c r="V19" s="9"/>
      <c r="W19" s="9"/>
      <c r="X19" s="9"/>
      <c r="Y19" s="9"/>
    </row>
    <row r="20" spans="1:31" x14ac:dyDescent="0.3">
      <c r="A20">
        <v>1995</v>
      </c>
      <c r="B20" s="2">
        <f t="shared" si="6"/>
        <v>7382</v>
      </c>
      <c r="C20" s="1">
        <v>581.0545120884351</v>
      </c>
      <c r="D20" s="1">
        <v>531.95092759154295</v>
      </c>
      <c r="E20" s="1">
        <v>1612.0062425400606</v>
      </c>
      <c r="F20" s="1">
        <v>4656.9883177799611</v>
      </c>
      <c r="G20" s="9">
        <v>3.7290509999999999E-2</v>
      </c>
      <c r="H20" s="9">
        <v>4.2427980000000001E-4</v>
      </c>
      <c r="I20" s="9">
        <v>0.29553210000000002</v>
      </c>
      <c r="J20" s="9">
        <v>0.27289079999999999</v>
      </c>
      <c r="K20" s="1">
        <f t="shared" si="13"/>
        <v>22.507121118728051</v>
      </c>
      <c r="L20" s="1">
        <f t="shared" si="14"/>
        <v>0.22579183208171158</v>
      </c>
      <c r="M20" s="1">
        <f t="shared" si="15"/>
        <v>676.25450367713484</v>
      </c>
      <c r="N20" s="1">
        <f t="shared" si="16"/>
        <v>1747.8107382352302</v>
      </c>
      <c r="O20">
        <f t="shared" si="0"/>
        <v>1995</v>
      </c>
      <c r="P20" s="2">
        <f t="shared" si="10"/>
        <v>13096.80445655019</v>
      </c>
      <c r="Q20" s="9">
        <f t="shared" si="11"/>
        <v>1.7741539496816838</v>
      </c>
      <c r="R20" s="9">
        <f t="shared" si="17"/>
        <v>0.57332366122792244</v>
      </c>
      <c r="S20" s="74">
        <f t="shared" si="18"/>
        <v>16119.610594131953</v>
      </c>
      <c r="T20" s="1">
        <f t="shared" si="19"/>
        <v>3022.8061375817633</v>
      </c>
      <c r="V20" s="9"/>
      <c r="W20" s="9"/>
      <c r="X20" s="9"/>
      <c r="Y20" s="9"/>
    </row>
    <row r="21" spans="1:31" x14ac:dyDescent="0.3">
      <c r="A21">
        <v>1996</v>
      </c>
      <c r="B21" s="2">
        <f t="shared" si="6"/>
        <v>11357</v>
      </c>
      <c r="C21" s="1">
        <v>556.12137045050008</v>
      </c>
      <c r="D21" s="1">
        <v>2666.1385487636035</v>
      </c>
      <c r="E21" s="1">
        <v>4190.3048723968686</v>
      </c>
      <c r="F21" s="1">
        <v>3944.435208389029</v>
      </c>
      <c r="G21" s="9">
        <v>2.6912930000000002E-2</v>
      </c>
      <c r="H21" s="9">
        <v>7.7131039999999998E-2</v>
      </c>
      <c r="I21" s="9">
        <v>3.100158E-3</v>
      </c>
      <c r="J21" s="9">
        <v>0.32471119999999998</v>
      </c>
      <c r="K21" s="1">
        <f t="shared" si="13"/>
        <v>15.380797850328417</v>
      </c>
      <c r="L21" s="1">
        <f t="shared" si="14"/>
        <v>222.82907754338976</v>
      </c>
      <c r="M21" s="1">
        <f t="shared" si="15"/>
        <v>13.031005348078018</v>
      </c>
      <c r="N21" s="1">
        <f t="shared" si="16"/>
        <v>1896.6733786170475</v>
      </c>
      <c r="O21">
        <f t="shared" si="0"/>
        <v>1996</v>
      </c>
      <c r="P21" s="2">
        <f t="shared" si="10"/>
        <v>8733.3051793150935</v>
      </c>
      <c r="Q21" s="9">
        <f t="shared" si="11"/>
        <v>0.76897994006472603</v>
      </c>
      <c r="R21" s="9">
        <f t="shared" si="17"/>
        <v>-0.26269039555831059</v>
      </c>
      <c r="S21" s="74">
        <f t="shared" si="18"/>
        <v>20492.076844900716</v>
      </c>
      <c r="T21" s="1">
        <f t="shared" si="19"/>
        <v>11758.771665585622</v>
      </c>
      <c r="V21" s="9"/>
      <c r="W21" s="9"/>
      <c r="X21" s="9"/>
      <c r="Y21" s="9"/>
    </row>
    <row r="22" spans="1:31" x14ac:dyDescent="0.3">
      <c r="A22">
        <v>1997</v>
      </c>
      <c r="B22" s="2">
        <f t="shared" si="6"/>
        <v>15251</v>
      </c>
      <c r="C22" s="1">
        <v>123.46030608325819</v>
      </c>
      <c r="D22" s="1">
        <v>3637.856357232718</v>
      </c>
      <c r="E22" s="1">
        <v>9007.8749782059986</v>
      </c>
      <c r="F22" s="1">
        <v>2481.8083584780261</v>
      </c>
      <c r="G22" s="9">
        <v>2.961387E-2</v>
      </c>
      <c r="H22" s="9">
        <v>6.8755739999999996E-2</v>
      </c>
      <c r="I22" s="9">
        <v>0.36194460000000001</v>
      </c>
      <c r="J22" s="9">
        <v>0.34827823333333335</v>
      </c>
      <c r="K22" s="1">
        <f t="shared" si="13"/>
        <v>3.7677140485404683</v>
      </c>
      <c r="L22" s="1">
        <f t="shared" si="14"/>
        <v>268.59065510400018</v>
      </c>
      <c r="M22" s="1">
        <f t="shared" si="15"/>
        <v>5109.8254255614456</v>
      </c>
      <c r="N22" s="1">
        <f t="shared" si="16"/>
        <v>1326.2712322522711</v>
      </c>
      <c r="O22">
        <f t="shared" si="0"/>
        <v>1997</v>
      </c>
      <c r="P22" s="2">
        <f t="shared" si="10"/>
        <v>7613.4943525598246</v>
      </c>
      <c r="Q22" s="9">
        <f t="shared" si="11"/>
        <v>0.49921279605008356</v>
      </c>
      <c r="R22" s="9">
        <f t="shared" si="17"/>
        <v>-0.69472282914229366</v>
      </c>
      <c r="S22" s="74">
        <f t="shared" si="18"/>
        <v>22827.110760435629</v>
      </c>
      <c r="T22" s="1">
        <f t="shared" si="19"/>
        <v>15213.616407875805</v>
      </c>
      <c r="V22" s="9"/>
      <c r="W22" s="9"/>
      <c r="X22" s="9"/>
      <c r="Y22" s="9"/>
    </row>
    <row r="23" spans="1:31" x14ac:dyDescent="0.3">
      <c r="A23">
        <v>1998</v>
      </c>
      <c r="B23" s="2">
        <f t="shared" si="6"/>
        <v>32043</v>
      </c>
      <c r="C23" s="1">
        <v>116.20066384962831</v>
      </c>
      <c r="D23" s="1">
        <v>1906.0573595280468</v>
      </c>
      <c r="E23" s="1">
        <v>18510.013839609459</v>
      </c>
      <c r="F23" s="1">
        <v>11510.728137012864</v>
      </c>
      <c r="G23" s="9">
        <v>1.911237E-2</v>
      </c>
      <c r="H23" s="9">
        <v>9.7367350000000005E-2</v>
      </c>
      <c r="I23" s="9">
        <v>0.2798947</v>
      </c>
      <c r="J23" s="9">
        <v>0.3496359</v>
      </c>
      <c r="K23" s="1">
        <f t="shared" si="13"/>
        <v>2.2641432247848012</v>
      </c>
      <c r="L23" s="1">
        <f t="shared" si="14"/>
        <v>205.60718033548108</v>
      </c>
      <c r="M23" s="1">
        <f t="shared" si="15"/>
        <v>7194.5794186396597</v>
      </c>
      <c r="N23" s="1">
        <f t="shared" si="16"/>
        <v>6188.1702754500384</v>
      </c>
      <c r="O23">
        <f t="shared" si="0"/>
        <v>1998</v>
      </c>
      <c r="P23" s="2">
        <f t="shared" si="10"/>
        <v>40692.68302881749</v>
      </c>
      <c r="Q23" s="9">
        <f t="shared" si="11"/>
        <v>1.2699398629596945</v>
      </c>
      <c r="R23" s="9">
        <f t="shared" si="17"/>
        <v>0.23896954734911802</v>
      </c>
      <c r="S23" s="74">
        <f t="shared" si="18"/>
        <v>21421.979279652856</v>
      </c>
      <c r="T23" s="1">
        <f t="shared" si="19"/>
        <v>-19270.703749164633</v>
      </c>
      <c r="V23" s="9"/>
      <c r="W23" s="9"/>
      <c r="X23" s="9"/>
      <c r="Y23" s="9"/>
    </row>
    <row r="24" spans="1:31" x14ac:dyDescent="0.3">
      <c r="A24">
        <v>1999</v>
      </c>
      <c r="B24" s="2">
        <f t="shared" si="6"/>
        <v>22334</v>
      </c>
      <c r="C24" s="1">
        <v>17.210068907589097</v>
      </c>
      <c r="D24" s="1">
        <v>732.58693780823535</v>
      </c>
      <c r="E24" s="1">
        <v>5188.7073420279421</v>
      </c>
      <c r="F24" s="1">
        <v>16395.495651256235</v>
      </c>
      <c r="G24" s="9">
        <v>2.8004210000000002E-2</v>
      </c>
      <c r="H24" s="9">
        <v>5.5808709999999997E-2</v>
      </c>
      <c r="I24" s="9">
        <v>0.25176880000000001</v>
      </c>
      <c r="J24" s="9">
        <v>0.38046659999999999</v>
      </c>
      <c r="K24" s="1">
        <f t="shared" si="13"/>
        <v>0.49583999103802257</v>
      </c>
      <c r="L24" s="1">
        <f t="shared" si="14"/>
        <v>43.301322936295925</v>
      </c>
      <c r="M24" s="1">
        <f t="shared" si="15"/>
        <v>1745.92374797197</v>
      </c>
      <c r="N24" s="1">
        <f t="shared" si="16"/>
        <v>10068.768666464544</v>
      </c>
      <c r="O24">
        <f t="shared" si="0"/>
        <v>1999</v>
      </c>
      <c r="P24" s="2">
        <f t="shared" si="10"/>
        <v>47213.559611635392</v>
      </c>
      <c r="Q24" s="9">
        <f t="shared" si="11"/>
        <v>2.1139768788231126</v>
      </c>
      <c r="R24" s="9">
        <f t="shared" si="17"/>
        <v>0.74857095021846765</v>
      </c>
      <c r="S24" s="74">
        <f t="shared" si="18"/>
        <v>23794.428822016707</v>
      </c>
      <c r="T24" s="1">
        <f t="shared" si="19"/>
        <v>-23419.130789618685</v>
      </c>
      <c r="V24" s="9"/>
      <c r="W24" s="9"/>
      <c r="X24" s="9"/>
      <c r="Y24" s="9"/>
    </row>
    <row r="25" spans="1:31" x14ac:dyDescent="0.3">
      <c r="A25">
        <v>2000</v>
      </c>
      <c r="B25" s="2">
        <f t="shared" si="6"/>
        <v>8876.535736647118</v>
      </c>
      <c r="C25" s="1">
        <v>436.5509036954353</v>
      </c>
      <c r="D25" s="1">
        <v>1076.0945232333579</v>
      </c>
      <c r="E25" s="1">
        <v>4032.8793512352472</v>
      </c>
      <c r="F25" s="1">
        <v>3331.0109584830766</v>
      </c>
      <c r="G25" s="9">
        <v>1.994021E-2</v>
      </c>
      <c r="H25" s="9">
        <v>6.3243380000000002E-2</v>
      </c>
      <c r="I25" s="9">
        <v>0.1523195</v>
      </c>
      <c r="J25" s="9">
        <v>0.15096290000000001</v>
      </c>
      <c r="K25" s="1">
        <f t="shared" si="13"/>
        <v>8.8820261622780752</v>
      </c>
      <c r="L25" s="1">
        <f t="shared" si="14"/>
        <v>72.650519244546231</v>
      </c>
      <c r="M25" s="1">
        <f t="shared" si="15"/>
        <v>724.66709608216445</v>
      </c>
      <c r="N25" s="1">
        <f t="shared" si="16"/>
        <v>592.26984807187443</v>
      </c>
      <c r="O25">
        <f t="shared" si="0"/>
        <v>2000</v>
      </c>
      <c r="P25" s="2">
        <f t="shared" si="10"/>
        <v>19289.249152868011</v>
      </c>
      <c r="Q25" s="9">
        <f t="shared" si="11"/>
        <v>2.1730604962509874</v>
      </c>
      <c r="R25" s="9">
        <f t="shared" si="17"/>
        <v>0.77613654085500872</v>
      </c>
      <c r="S25" s="74">
        <f t="shared" si="18"/>
        <v>18041.418648981737</v>
      </c>
      <c r="T25" s="1">
        <f t="shared" si="19"/>
        <v>-1247.8305038862745</v>
      </c>
      <c r="V25" s="9"/>
      <c r="W25" s="9"/>
      <c r="X25" s="9"/>
      <c r="Y25" s="9"/>
    </row>
    <row r="26" spans="1:31" x14ac:dyDescent="0.3">
      <c r="A26">
        <v>2001</v>
      </c>
      <c r="B26" s="2">
        <f t="shared" si="6"/>
        <v>9881.6437627308624</v>
      </c>
      <c r="C26" s="1">
        <v>913.74565033758358</v>
      </c>
      <c r="D26" s="1">
        <v>4170.6881909646372</v>
      </c>
      <c r="E26" s="1">
        <v>2560.5207768910473</v>
      </c>
      <c r="F26" s="1">
        <v>2236.6891445375959</v>
      </c>
      <c r="G26" s="9">
        <v>2.230451E-2</v>
      </c>
      <c r="H26" s="9">
        <v>4.8453839999999998E-2</v>
      </c>
      <c r="I26" s="9">
        <v>2.466453E-2</v>
      </c>
      <c r="J26" s="9">
        <v>0.27413349999999997</v>
      </c>
      <c r="K26" s="1">
        <f t="shared" si="13"/>
        <v>20.845599886536384</v>
      </c>
      <c r="L26" s="1">
        <f t="shared" si="14"/>
        <v>212.37630583774302</v>
      </c>
      <c r="M26" s="1">
        <f t="shared" si="15"/>
        <v>64.751096889004302</v>
      </c>
      <c r="N26" s="1">
        <f t="shared" si="16"/>
        <v>844.71651964114199</v>
      </c>
      <c r="O26">
        <f t="shared" si="0"/>
        <v>2001</v>
      </c>
      <c r="P26" s="2">
        <f t="shared" si="10"/>
        <v>18610.256458263844</v>
      </c>
      <c r="Q26" s="9">
        <f t="shared" si="11"/>
        <v>1.8833158637486409</v>
      </c>
      <c r="R26" s="9">
        <f t="shared" si="17"/>
        <v>0.63303398056154114</v>
      </c>
      <c r="S26" s="74">
        <f t="shared" si="18"/>
        <v>19138.37575205891</v>
      </c>
      <c r="T26" s="1">
        <f t="shared" si="19"/>
        <v>528.11929379506546</v>
      </c>
      <c r="V26" s="9"/>
      <c r="W26" s="9"/>
      <c r="X26" s="9"/>
      <c r="Y26" s="9"/>
    </row>
    <row r="27" spans="1:31" x14ac:dyDescent="0.3">
      <c r="A27">
        <v>2002</v>
      </c>
      <c r="B27" s="2">
        <f t="shared" si="6"/>
        <v>24248</v>
      </c>
      <c r="C27" s="1">
        <v>875.8093205216494</v>
      </c>
      <c r="D27" s="1">
        <v>2760.1250172101609</v>
      </c>
      <c r="E27" s="1">
        <v>17816.520047174792</v>
      </c>
      <c r="F27" s="1">
        <v>2795.5456150933951</v>
      </c>
      <c r="G27" s="9">
        <v>2.4890539999999999E-2</v>
      </c>
      <c r="H27" s="9">
        <v>4.2395670000000003E-2</v>
      </c>
      <c r="I27" s="9">
        <v>0.24123430000000001</v>
      </c>
      <c r="J27" s="9">
        <v>0.26852100000000001</v>
      </c>
      <c r="K27" s="1">
        <f t="shared" si="13"/>
        <v>22.355815238236879</v>
      </c>
      <c r="L27" s="1">
        <f t="shared" si="14"/>
        <v>122.19801615599035</v>
      </c>
      <c r="M27" s="1">
        <f t="shared" si="15"/>
        <v>5664.4043635817725</v>
      </c>
      <c r="N27" s="1">
        <f t="shared" si="16"/>
        <v>1026.2259123098456</v>
      </c>
      <c r="O27">
        <f t="shared" si="0"/>
        <v>2002</v>
      </c>
      <c r="P27" s="2">
        <f t="shared" si="10"/>
        <v>17310.646448022399</v>
      </c>
      <c r="Q27" s="9">
        <f t="shared" si="11"/>
        <v>0.71389996898805663</v>
      </c>
      <c r="R27" s="9">
        <f t="shared" si="17"/>
        <v>-0.33701242591390157</v>
      </c>
      <c r="S27" s="74">
        <f t="shared" si="18"/>
        <v>23566.099783187412</v>
      </c>
      <c r="T27" s="1">
        <f t="shared" si="19"/>
        <v>6255.4533351650134</v>
      </c>
      <c r="V27" s="9"/>
      <c r="W27" s="9"/>
      <c r="X27" s="9"/>
      <c r="Y27" s="9"/>
    </row>
    <row r="28" spans="1:31" x14ac:dyDescent="0.3">
      <c r="A28">
        <v>2003</v>
      </c>
      <c r="B28" s="2">
        <f t="shared" si="6"/>
        <v>29088</v>
      </c>
      <c r="C28" s="1">
        <v>602.66141320507666</v>
      </c>
      <c r="D28" s="1">
        <v>2551.6788418856809</v>
      </c>
      <c r="E28" s="1">
        <v>17369.556049005805</v>
      </c>
      <c r="F28" s="1">
        <v>8564.1036959034409</v>
      </c>
      <c r="G28" s="9">
        <v>2.7425809999999998E-2</v>
      </c>
      <c r="H28" s="9">
        <v>5.8330420000000001E-2</v>
      </c>
      <c r="I28" s="9">
        <v>0.17068169999999999</v>
      </c>
      <c r="J28" s="9">
        <v>0.30841289999999999</v>
      </c>
      <c r="K28" s="1">
        <f t="shared" si="13"/>
        <v>16.994567183500852</v>
      </c>
      <c r="L28" s="1">
        <f t="shared" si="14"/>
        <v>158.06021741968701</v>
      </c>
      <c r="M28" s="1">
        <f t="shared" si="15"/>
        <v>3574.822061311796</v>
      </c>
      <c r="N28" s="1">
        <f t="shared" si="16"/>
        <v>3819.157495497383</v>
      </c>
      <c r="O28">
        <f t="shared" si="0"/>
        <v>2003</v>
      </c>
      <c r="P28" s="2">
        <f t="shared" si="10"/>
        <v>20836.818626455726</v>
      </c>
      <c r="Q28" s="9">
        <f t="shared" si="11"/>
        <v>0.71633727401181679</v>
      </c>
      <c r="R28" s="9">
        <f t="shared" si="17"/>
        <v>-0.3336041698430397</v>
      </c>
      <c r="S28" s="74">
        <f t="shared" si="18"/>
        <v>22409.735295868482</v>
      </c>
      <c r="T28" s="1">
        <f t="shared" si="19"/>
        <v>1572.9166694127562</v>
      </c>
      <c r="V28" s="9"/>
      <c r="W28" s="9"/>
      <c r="X28" s="9"/>
      <c r="Y28" s="9"/>
    </row>
    <row r="29" spans="1:31" x14ac:dyDescent="0.3">
      <c r="A29">
        <v>2004</v>
      </c>
      <c r="B29" s="2">
        <f t="shared" si="6"/>
        <v>25033</v>
      </c>
      <c r="C29" s="1">
        <v>175.19319047473374</v>
      </c>
      <c r="D29" s="1">
        <v>3143.3005187483191</v>
      </c>
      <c r="E29" s="1">
        <v>7418.3911118446003</v>
      </c>
      <c r="F29" s="1">
        <v>14296.115178932345</v>
      </c>
      <c r="G29" s="9">
        <v>2.5422279999999998E-2</v>
      </c>
      <c r="H29" s="9">
        <v>8.3009349999999996E-2</v>
      </c>
      <c r="I29" s="9">
        <v>0.25205300000000003</v>
      </c>
      <c r="J29" s="9">
        <v>0.36326629999999999</v>
      </c>
      <c r="K29" s="1">
        <f t="shared" si="13"/>
        <v>4.5699899053120303</v>
      </c>
      <c r="L29" s="1">
        <f t="shared" si="14"/>
        <v>284.54306804105448</v>
      </c>
      <c r="M29" s="1">
        <f t="shared" si="15"/>
        <v>2499.9468343529252</v>
      </c>
      <c r="N29" s="1">
        <f t="shared" si="16"/>
        <v>8156.1520387951678</v>
      </c>
      <c r="O29">
        <f t="shared" si="0"/>
        <v>2004</v>
      </c>
      <c r="P29" s="2">
        <f t="shared" si="10"/>
        <v>9904.2332794345093</v>
      </c>
      <c r="Q29" s="9">
        <f t="shared" si="11"/>
        <v>0.39564707703569324</v>
      </c>
      <c r="R29" s="9">
        <f t="shared" si="17"/>
        <v>-0.92723268470680043</v>
      </c>
      <c r="S29" s="74">
        <f t="shared" si="18"/>
        <v>23429.418256018489</v>
      </c>
      <c r="T29" s="1">
        <f t="shared" si="19"/>
        <v>13525.18497658398</v>
      </c>
      <c r="V29" s="9"/>
      <c r="W29" s="9"/>
      <c r="X29" s="9"/>
      <c r="Y29" s="9"/>
    </row>
    <row r="30" spans="1:31" x14ac:dyDescent="0.3">
      <c r="A30">
        <v>2005</v>
      </c>
      <c r="B30" s="2">
        <f t="shared" si="6"/>
        <v>9637.0283640241141</v>
      </c>
      <c r="C30" s="1">
        <v>279.85642407857927</v>
      </c>
      <c r="D30" s="1">
        <v>1553.6073272687079</v>
      </c>
      <c r="E30" s="1">
        <v>4294.5526306113679</v>
      </c>
      <c r="F30" s="1">
        <v>3509.01198206546</v>
      </c>
      <c r="G30" s="9">
        <v>2.8622169999999999E-2</v>
      </c>
      <c r="H30" s="9">
        <v>5.7888120000000001E-2</v>
      </c>
      <c r="I30" s="9">
        <v>0.30281750000000002</v>
      </c>
      <c r="J30" s="9">
        <v>0.39111439999999997</v>
      </c>
      <c r="K30" s="1">
        <f t="shared" si="13"/>
        <v>8.246119993874256</v>
      </c>
      <c r="L30" s="1">
        <f t="shared" si="14"/>
        <v>95.461493802424229</v>
      </c>
      <c r="M30" s="1">
        <f t="shared" si="15"/>
        <v>1865.3160273244926</v>
      </c>
      <c r="N30" s="1">
        <f t="shared" si="16"/>
        <v>2253.9950295397739</v>
      </c>
      <c r="O30">
        <f t="shared" si="0"/>
        <v>2005</v>
      </c>
      <c r="P30" s="2">
        <f t="shared" si="10"/>
        <v>18424.169305496227</v>
      </c>
      <c r="Q30" s="9">
        <f t="shared" si="11"/>
        <v>1.9118102188300383</v>
      </c>
      <c r="R30" s="9">
        <f t="shared" si="17"/>
        <v>0.64805055176873438</v>
      </c>
      <c r="S30" s="74">
        <f t="shared" si="18"/>
        <v>18885.043285687483</v>
      </c>
      <c r="T30" s="1">
        <f t="shared" si="19"/>
        <v>460.87398019125612</v>
      </c>
      <c r="V30" s="9"/>
      <c r="W30" s="9"/>
      <c r="X30" s="9"/>
      <c r="Y30" s="9"/>
    </row>
    <row r="31" spans="1:31" x14ac:dyDescent="0.3">
      <c r="A31">
        <v>2006</v>
      </c>
      <c r="B31" s="2">
        <f t="shared" si="6"/>
        <v>16565.818657322903</v>
      </c>
      <c r="C31" s="1">
        <v>62.520946415539377</v>
      </c>
      <c r="D31" s="1">
        <v>2989.8903043625019</v>
      </c>
      <c r="E31" s="1">
        <v>8227.847858793526</v>
      </c>
      <c r="F31" s="1">
        <v>5285.5595477513343</v>
      </c>
      <c r="G31" s="9">
        <v>2.100306E-2</v>
      </c>
      <c r="H31" s="9">
        <v>8.6884050000000004E-2</v>
      </c>
      <c r="I31" s="9">
        <v>0.24650639999999999</v>
      </c>
      <c r="J31" s="9">
        <v>0.37098300000000001</v>
      </c>
      <c r="K31" s="1">
        <f t="shared" si="13"/>
        <v>1.3413026488339774</v>
      </c>
      <c r="L31" s="1">
        <f t="shared" si="14"/>
        <v>284.49155739613008</v>
      </c>
      <c r="M31" s="1">
        <f t="shared" si="15"/>
        <v>2691.7510054748977</v>
      </c>
      <c r="N31" s="1">
        <f t="shared" si="16"/>
        <v>3117.3286853986992</v>
      </c>
      <c r="O31">
        <f t="shared" si="0"/>
        <v>2006</v>
      </c>
      <c r="P31" s="2">
        <f t="shared" si="10"/>
        <v>18937.177272052839</v>
      </c>
      <c r="Q31" s="9">
        <f t="shared" si="11"/>
        <v>1.1431476864369561</v>
      </c>
      <c r="R31" s="9">
        <f t="shared" si="17"/>
        <v>0.13378558594699899</v>
      </c>
      <c r="S31" s="74">
        <f t="shared" si="18"/>
        <v>23278.681110539666</v>
      </c>
      <c r="T31" s="1">
        <f t="shared" si="19"/>
        <v>4341.5038384868276</v>
      </c>
      <c r="V31" s="9"/>
      <c r="W31" s="9"/>
      <c r="X31" s="9"/>
      <c r="Y31" s="9"/>
      <c r="AD31">
        <v>1000</v>
      </c>
      <c r="AE31">
        <f>AD31</f>
        <v>1000</v>
      </c>
    </row>
    <row r="32" spans="1:31" x14ac:dyDescent="0.3">
      <c r="A32">
        <v>2007</v>
      </c>
      <c r="B32" s="2">
        <f t="shared" si="6"/>
        <v>10681.174522241208</v>
      </c>
      <c r="C32" s="1">
        <v>177.37528478219659</v>
      </c>
      <c r="D32" s="1">
        <v>1026.4669432825724</v>
      </c>
      <c r="E32" s="1">
        <v>6916.8148032378149</v>
      </c>
      <c r="F32" s="1">
        <v>2560.5174909386242</v>
      </c>
      <c r="G32" s="9">
        <v>4.0839130000000001E-2</v>
      </c>
      <c r="H32" s="9">
        <v>3.9543219999999997E-2</v>
      </c>
      <c r="I32" s="9">
        <v>0.30015269999999999</v>
      </c>
      <c r="J32" s="9">
        <v>0.43875570000000003</v>
      </c>
      <c r="K32" s="1">
        <f t="shared" si="13"/>
        <v>7.5522808952862599</v>
      </c>
      <c r="L32" s="1">
        <f t="shared" si="14"/>
        <v>42.260941883246716</v>
      </c>
      <c r="M32" s="1">
        <f t="shared" si="15"/>
        <v>2966.505177046191</v>
      </c>
      <c r="N32" s="1">
        <f t="shared" si="16"/>
        <v>2001.6980913641703</v>
      </c>
      <c r="O32">
        <f t="shared" si="0"/>
        <v>2007</v>
      </c>
      <c r="P32" s="2">
        <f t="shared" si="10"/>
        <v>28190.960468114725</v>
      </c>
      <c r="Q32" s="9">
        <f t="shared" si="11"/>
        <v>2.6393127843209769</v>
      </c>
      <c r="R32" s="9">
        <f t="shared" si="17"/>
        <v>0.97051857430263744</v>
      </c>
      <c r="S32" s="74">
        <f t="shared" si="18"/>
        <v>19908.054496379427</v>
      </c>
      <c r="T32" s="1">
        <f t="shared" si="19"/>
        <v>-8282.9059717352975</v>
      </c>
      <c r="V32" s="9"/>
      <c r="W32" s="9"/>
      <c r="X32" s="9"/>
      <c r="Y32" s="9"/>
      <c r="AD32">
        <f>AD31+1000</f>
        <v>2000</v>
      </c>
      <c r="AE32">
        <f>AD32</f>
        <v>2000</v>
      </c>
    </row>
    <row r="33" spans="1:31" x14ac:dyDescent="0.3">
      <c r="A33">
        <v>2008</v>
      </c>
      <c r="B33" s="2">
        <f t="shared" si="6"/>
        <v>9108</v>
      </c>
      <c r="C33" s="1">
        <v>95.331555740208927</v>
      </c>
      <c r="D33" s="1">
        <v>1820.6882738260385</v>
      </c>
      <c r="E33" s="1">
        <v>2183.8407468017203</v>
      </c>
      <c r="F33" s="1">
        <v>5008.139423632032</v>
      </c>
      <c r="G33" s="9">
        <v>3.7111119999999997E-2</v>
      </c>
      <c r="H33" s="9">
        <v>8.0986810000000006E-2</v>
      </c>
      <c r="I33" s="9">
        <v>0.23125370000000001</v>
      </c>
      <c r="J33" s="9">
        <v>0.32240160000000001</v>
      </c>
      <c r="K33" s="1">
        <f t="shared" si="13"/>
        <v>3.6742150401213296</v>
      </c>
      <c r="L33" s="1">
        <f t="shared" si="14"/>
        <v>160.44572254896295</v>
      </c>
      <c r="M33" s="1">
        <f t="shared" si="15"/>
        <v>656.94137702992646</v>
      </c>
      <c r="N33" s="1">
        <f t="shared" si="16"/>
        <v>2382.8748167086064</v>
      </c>
      <c r="O33">
        <f t="shared" si="0"/>
        <v>2008</v>
      </c>
      <c r="P33" s="2">
        <f t="shared" si="10"/>
        <v>18662.939938310243</v>
      </c>
      <c r="Q33" s="9">
        <f t="shared" si="11"/>
        <v>2.0490711394719194</v>
      </c>
      <c r="R33" s="9">
        <f t="shared" si="17"/>
        <v>0.7173865877716471</v>
      </c>
      <c r="S33" s="74">
        <f t="shared" si="18"/>
        <v>18307.345166177576</v>
      </c>
      <c r="T33" s="1">
        <f t="shared" si="19"/>
        <v>-355.59477213266655</v>
      </c>
      <c r="V33" s="9"/>
      <c r="W33" s="9"/>
      <c r="X33" s="9"/>
      <c r="Y33" s="9"/>
      <c r="AD33">
        <f t="shared" ref="AD33:AD70" si="20">AD32+1000</f>
        <v>3000</v>
      </c>
      <c r="AE33">
        <f t="shared" ref="AE33:AE70" si="21">AD33</f>
        <v>3000</v>
      </c>
    </row>
    <row r="34" spans="1:31" x14ac:dyDescent="0.3">
      <c r="A34">
        <v>2009</v>
      </c>
      <c r="B34" s="2">
        <f t="shared" si="6"/>
        <v>15159.918327582192</v>
      </c>
      <c r="C34" s="1">
        <v>995.21917056203449</v>
      </c>
      <c r="D34" s="1">
        <v>2419.6787885142394</v>
      </c>
      <c r="E34" s="1">
        <v>7827.675395253329</v>
      </c>
      <c r="F34" s="1">
        <v>3917.3449732525892</v>
      </c>
      <c r="G34" s="9">
        <v>2.980928E-2</v>
      </c>
      <c r="H34" s="9">
        <v>6.6412230000000003E-2</v>
      </c>
      <c r="I34" s="9">
        <v>0.3203587</v>
      </c>
      <c r="J34" s="9">
        <v>0.33949810000000002</v>
      </c>
      <c r="K34" s="1">
        <f t="shared" si="13"/>
        <v>30.578283532387783</v>
      </c>
      <c r="L34" s="1">
        <f t="shared" si="14"/>
        <v>172.12764497646432</v>
      </c>
      <c r="M34" s="1">
        <f t="shared" si="15"/>
        <v>3689.6873595606135</v>
      </c>
      <c r="N34" s="1">
        <f t="shared" si="16"/>
        <v>2013.516048120081</v>
      </c>
      <c r="O34">
        <f t="shared" si="0"/>
        <v>2009</v>
      </c>
      <c r="P34" s="2">
        <f t="shared" si="10"/>
        <v>15018.000380125683</v>
      </c>
      <c r="Q34" s="9">
        <f t="shared" si="11"/>
        <v>0.99063860738627452</v>
      </c>
      <c r="R34" s="9">
        <f t="shared" si="17"/>
        <v>-9.4054858480310637E-3</v>
      </c>
      <c r="S34" s="74">
        <f t="shared" si="18"/>
        <v>22790.196386086114</v>
      </c>
      <c r="T34" s="1">
        <f t="shared" si="19"/>
        <v>7772.1960059604316</v>
      </c>
      <c r="V34" s="9"/>
      <c r="W34" s="9"/>
      <c r="X34" s="9"/>
      <c r="Y34" s="9"/>
      <c r="AD34">
        <f t="shared" si="20"/>
        <v>4000</v>
      </c>
      <c r="AE34">
        <f t="shared" si="21"/>
        <v>4000</v>
      </c>
    </row>
    <row r="35" spans="1:31" x14ac:dyDescent="0.3">
      <c r="A35">
        <v>2010</v>
      </c>
      <c r="B35" s="2">
        <f t="shared" si="6"/>
        <v>14604.042402507133</v>
      </c>
      <c r="C35" s="1">
        <v>542.46289682592669</v>
      </c>
      <c r="D35" s="1">
        <v>4767.6575094248456</v>
      </c>
      <c r="E35" s="1">
        <v>7475.5130187441309</v>
      </c>
      <c r="F35" s="1">
        <v>1818.4089775122293</v>
      </c>
      <c r="G35" s="9">
        <v>2.2146989999999998E-2</v>
      </c>
      <c r="H35" s="9">
        <v>5.3677639999999999E-2</v>
      </c>
      <c r="I35" s="9">
        <v>0.39406200000000002</v>
      </c>
      <c r="J35" s="9">
        <v>0.61642969999999997</v>
      </c>
      <c r="K35" s="1">
        <f t="shared" si="13"/>
        <v>12.286018684316192</v>
      </c>
      <c r="L35" s="1">
        <f t="shared" si="14"/>
        <v>270.43279779863116</v>
      </c>
      <c r="M35" s="1">
        <f t="shared" si="15"/>
        <v>4861.5792559508563</v>
      </c>
      <c r="N35" s="1">
        <f t="shared" si="16"/>
        <v>2922.3360111175712</v>
      </c>
      <c r="O35">
        <f t="shared" si="0"/>
        <v>2010</v>
      </c>
      <c r="P35" s="2">
        <f t="shared" si="10"/>
        <v>57129.894673038951</v>
      </c>
      <c r="Q35" s="9">
        <f t="shared" si="11"/>
        <v>3.9119233633032477</v>
      </c>
      <c r="R35" s="9">
        <f t="shared" si="17"/>
        <v>1.3640291618230247</v>
      </c>
      <c r="S35" s="74">
        <f t="shared" si="18"/>
        <v>22548.176425368885</v>
      </c>
      <c r="T35" s="1">
        <f t="shared" si="19"/>
        <v>-34581.718247670069</v>
      </c>
      <c r="V35" s="9"/>
      <c r="W35" s="9"/>
      <c r="X35" s="9"/>
      <c r="Y35" s="9"/>
      <c r="AD35">
        <f t="shared" si="20"/>
        <v>5000</v>
      </c>
      <c r="AE35">
        <f t="shared" si="21"/>
        <v>5000</v>
      </c>
    </row>
    <row r="36" spans="1:31" x14ac:dyDescent="0.3">
      <c r="A36">
        <v>2011</v>
      </c>
      <c r="B36" s="2">
        <f t="shared" si="6"/>
        <v>13164</v>
      </c>
      <c r="C36" s="1">
        <v>288.04954061548892</v>
      </c>
      <c r="D36" s="1">
        <v>1038.6285515664836</v>
      </c>
      <c r="E36" s="1">
        <v>10561.849728454061</v>
      </c>
      <c r="F36" s="1">
        <v>1275.4721793639671</v>
      </c>
      <c r="G36" s="9">
        <v>2.973539E-2</v>
      </c>
      <c r="H36" s="9">
        <v>3.9607169999999997E-2</v>
      </c>
      <c r="I36" s="9">
        <v>0.2855086</v>
      </c>
      <c r="J36" s="9">
        <v>0.67373159999999999</v>
      </c>
      <c r="K36" s="1">
        <f t="shared" si="13"/>
        <v>8.8277623869249489</v>
      </c>
      <c r="L36" s="1">
        <f t="shared" si="14"/>
        <v>42.833657565672873</v>
      </c>
      <c r="M36" s="1">
        <f t="shared" si="15"/>
        <v>4220.4831707999556</v>
      </c>
      <c r="N36" s="1">
        <f t="shared" si="16"/>
        <v>2633.8006137228508</v>
      </c>
      <c r="O36">
        <f t="shared" si="0"/>
        <v>2011</v>
      </c>
      <c r="P36" s="2">
        <f>SUM(F41,E40,D39,C38,K38,L39,M40,N41)</f>
        <v>21410.355009985153</v>
      </c>
      <c r="Q36" s="9">
        <f t="shared" si="11"/>
        <v>1.6264323161641714</v>
      </c>
      <c r="R36" s="9">
        <f t="shared" si="17"/>
        <v>0.4863888528863029</v>
      </c>
      <c r="S36" s="74">
        <f t="shared" si="18"/>
        <v>21779.285889963627</v>
      </c>
      <c r="T36" s="1">
        <f t="shared" si="19"/>
        <v>368.93087997847397</v>
      </c>
      <c r="V36" s="9"/>
      <c r="W36" s="9"/>
      <c r="X36" s="9"/>
      <c r="Y36" s="9"/>
      <c r="AD36">
        <f t="shared" si="20"/>
        <v>6000</v>
      </c>
      <c r="AE36">
        <f t="shared" si="21"/>
        <v>6000</v>
      </c>
    </row>
    <row r="37" spans="1:31" x14ac:dyDescent="0.3">
      <c r="A37">
        <v>2012</v>
      </c>
      <c r="B37" s="2">
        <f t="shared" si="6"/>
        <v>10999.36163173796</v>
      </c>
      <c r="C37" s="1">
        <v>603.74531866159805</v>
      </c>
      <c r="D37" s="1">
        <v>720.30404401522367</v>
      </c>
      <c r="E37" s="1">
        <v>5171.874394761544</v>
      </c>
      <c r="F37" s="1">
        <v>4503.4378742995941</v>
      </c>
      <c r="G37" s="9">
        <v>2.4349464624212305E-2</v>
      </c>
      <c r="H37" s="9">
        <v>6.9017833959685693E-2</v>
      </c>
      <c r="I37" s="9">
        <v>0.23003348873348875</v>
      </c>
      <c r="J37" s="9">
        <v>0.38684854844351174</v>
      </c>
      <c r="K37" s="1">
        <f t="shared" si="13"/>
        <v>15.067767346760164</v>
      </c>
      <c r="L37" s="1">
        <f t="shared" si="14"/>
        <v>53.399331076101497</v>
      </c>
      <c r="M37" s="1">
        <f t="shared" si="15"/>
        <v>1545.1377337976221</v>
      </c>
      <c r="N37" s="1">
        <f t="shared" si="16"/>
        <v>2841.3019332432127</v>
      </c>
      <c r="O37">
        <f t="shared" si="0"/>
        <v>2012</v>
      </c>
      <c r="P37" s="2">
        <f t="shared" si="10"/>
        <v>58342.597125496919</v>
      </c>
      <c r="Q37" s="9">
        <f t="shared" si="11"/>
        <v>5.3041802859861482</v>
      </c>
      <c r="R37" s="9">
        <f t="shared" si="17"/>
        <v>1.6684952428764357</v>
      </c>
      <c r="S37" s="74">
        <f t="shared" si="18"/>
        <v>20190.391392628484</v>
      </c>
      <c r="T37" s="1">
        <f t="shared" si="19"/>
        <v>-38152.205732868431</v>
      </c>
      <c r="V37" s="9"/>
      <c r="W37" s="9"/>
      <c r="X37" s="9"/>
      <c r="Y37" s="9"/>
      <c r="AD37">
        <f t="shared" si="20"/>
        <v>7000</v>
      </c>
      <c r="AE37">
        <f t="shared" si="21"/>
        <v>7000</v>
      </c>
    </row>
    <row r="38" spans="1:31" x14ac:dyDescent="0.3">
      <c r="A38">
        <v>2013</v>
      </c>
      <c r="B38" s="2">
        <f t="shared" si="6"/>
        <v>23092.052468249742</v>
      </c>
      <c r="C38" s="1">
        <v>312.61803883009577</v>
      </c>
      <c r="D38" s="1">
        <v>9461.9059752575649</v>
      </c>
      <c r="E38" s="1">
        <v>8253.1162251145288</v>
      </c>
      <c r="F38" s="1">
        <v>5064.4122290475507</v>
      </c>
      <c r="G38" s="9">
        <v>2.525063E-2</v>
      </c>
      <c r="H38" s="9">
        <v>9.4009469999999998E-2</v>
      </c>
      <c r="I38" s="9">
        <v>0.31465310000000002</v>
      </c>
      <c r="J38" s="9">
        <v>0.50877289999999997</v>
      </c>
      <c r="K38" s="1">
        <f t="shared" si="13"/>
        <v>8.0982893375190201</v>
      </c>
      <c r="L38" s="1">
        <f t="shared" si="14"/>
        <v>981.808017269007</v>
      </c>
      <c r="M38" s="1">
        <f t="shared" si="15"/>
        <v>3789.1301542220222</v>
      </c>
      <c r="N38" s="1">
        <f t="shared" si="16"/>
        <v>5245.3044560611306</v>
      </c>
      <c r="O38">
        <f t="shared" si="0"/>
        <v>2013</v>
      </c>
      <c r="P38" s="2">
        <f t="shared" si="10"/>
        <v>36507.579541924897</v>
      </c>
      <c r="Q38" s="9">
        <f t="shared" si="11"/>
        <v>1.580958626008699</v>
      </c>
      <c r="R38" s="9">
        <f t="shared" si="17"/>
        <v>0.45803138837744317</v>
      </c>
      <c r="S38" s="74">
        <f t="shared" si="18"/>
        <v>23723.012708018105</v>
      </c>
      <c r="T38" s="1">
        <f t="shared" si="19"/>
        <v>-12784.566833906792</v>
      </c>
      <c r="V38" s="9"/>
      <c r="W38" s="9"/>
      <c r="X38" s="9"/>
      <c r="Y38" s="9"/>
      <c r="AD38">
        <f t="shared" si="20"/>
        <v>8000</v>
      </c>
      <c r="AE38">
        <f t="shared" si="21"/>
        <v>8000</v>
      </c>
    </row>
    <row r="39" spans="1:31" x14ac:dyDescent="0.3">
      <c r="A39">
        <v>2014</v>
      </c>
      <c r="B39" s="2">
        <f t="shared" si="6"/>
        <v>15259.749647978782</v>
      </c>
      <c r="C39" s="1">
        <v>986.62174448138694</v>
      </c>
      <c r="D39" s="1">
        <v>1743.0317485837834</v>
      </c>
      <c r="E39" s="1">
        <v>11296.818974311878</v>
      </c>
      <c r="F39" s="1">
        <v>1233.2771806017336</v>
      </c>
      <c r="G39" s="9">
        <v>2.7811280000000001E-2</v>
      </c>
      <c r="H39" s="9">
        <v>7.4414549999999996E-2</v>
      </c>
      <c r="I39" s="9">
        <v>0.3265998</v>
      </c>
      <c r="J39" s="9">
        <v>0.35266930000000002</v>
      </c>
      <c r="K39" s="1">
        <f t="shared" si="13"/>
        <v>28.224163709552514</v>
      </c>
      <c r="L39" s="1">
        <f t="shared" si="14"/>
        <v>140.13500666694293</v>
      </c>
      <c r="M39" s="1">
        <f t="shared" si="15"/>
        <v>5478.9689959202033</v>
      </c>
      <c r="N39" s="1">
        <f t="shared" si="16"/>
        <v>671.89614209365789</v>
      </c>
      <c r="O39">
        <f t="shared" si="0"/>
        <v>2014</v>
      </c>
      <c r="P39" s="2">
        <f>SUM(F44,E43,D42,C41,K41,L42,M43,N44)</f>
        <v>16365.32022209625</v>
      </c>
      <c r="Q39" s="9">
        <f>P39/B39</f>
        <v>1.0724501121985253</v>
      </c>
      <c r="R39" s="9">
        <f t="shared" si="17"/>
        <v>6.9945855305548227E-2</v>
      </c>
      <c r="S39" s="74">
        <f>B39*EXP($S$1-$S$2*B39)</f>
        <v>22830.617015804251</v>
      </c>
      <c r="T39" s="1">
        <f t="shared" si="19"/>
        <v>6465.2967937080011</v>
      </c>
      <c r="V39" s="9"/>
      <c r="W39" s="9"/>
      <c r="X39" s="9"/>
      <c r="Y39" s="9"/>
      <c r="AD39">
        <f t="shared" si="20"/>
        <v>9000</v>
      </c>
      <c r="AE39">
        <f t="shared" si="21"/>
        <v>9000</v>
      </c>
    </row>
    <row r="40" spans="1:31" x14ac:dyDescent="0.3">
      <c r="A40">
        <v>2015</v>
      </c>
      <c r="B40" s="2">
        <f t="shared" si="6"/>
        <v>27337.129010649493</v>
      </c>
      <c r="C40" s="1">
        <v>167.71244791809505</v>
      </c>
      <c r="D40" s="1">
        <v>13228.319329539747</v>
      </c>
      <c r="E40" s="1">
        <v>8008.2693880890383</v>
      </c>
      <c r="F40" s="1">
        <v>5932.8278451026135</v>
      </c>
      <c r="G40" s="9">
        <v>6.835865E-3</v>
      </c>
      <c r="H40" s="9">
        <v>0.104323</v>
      </c>
      <c r="I40" s="9">
        <v>0.48411999999999999</v>
      </c>
      <c r="J40" s="9">
        <v>0.79745619999999995</v>
      </c>
      <c r="K40" s="1">
        <f t="shared" si="13"/>
        <v>1.1543506379110526</v>
      </c>
      <c r="L40" s="1">
        <f t="shared" si="14"/>
        <v>1540.7540412621681</v>
      </c>
      <c r="M40" s="1">
        <f t="shared" si="15"/>
        <v>7515.2426458898681</v>
      </c>
      <c r="N40" s="1">
        <f t="shared" si="16"/>
        <v>23358.751779169332</v>
      </c>
      <c r="O40">
        <f t="shared" si="0"/>
        <v>2015</v>
      </c>
      <c r="P40" s="2">
        <f>SUM(F45,E44,D43,C42,K42,L43,M44,N45)</f>
        <v>31621.442851023592</v>
      </c>
      <c r="Q40" s="9">
        <f>P40/B40</f>
        <v>1.1567214259663148</v>
      </c>
      <c r="R40" s="9">
        <f>LN(Q40)</f>
        <v>0.14558964650403491</v>
      </c>
      <c r="S40" s="74">
        <f>B40*EXP($S$1-$S$2*B40)</f>
        <v>22907.218388337646</v>
      </c>
      <c r="T40" s="1">
        <f t="shared" ref="T40" si="22">S40-P40</f>
        <v>-8714.2244626859465</v>
      </c>
      <c r="V40" s="9"/>
      <c r="W40" s="9"/>
      <c r="X40" s="9"/>
      <c r="Y40" s="9"/>
      <c r="AD40">
        <f t="shared" si="20"/>
        <v>10000</v>
      </c>
      <c r="AE40">
        <f t="shared" si="21"/>
        <v>10000</v>
      </c>
    </row>
    <row r="41" spans="1:31" x14ac:dyDescent="0.3">
      <c r="A41">
        <v>2016</v>
      </c>
      <c r="B41" s="2">
        <f t="shared" si="6"/>
        <v>24160</v>
      </c>
      <c r="C41" s="1">
        <v>130.56491320796704</v>
      </c>
      <c r="D41" s="1">
        <v>3657.1490625347724</v>
      </c>
      <c r="E41" s="1">
        <v>19424.900842884166</v>
      </c>
      <c r="F41" s="1">
        <v>947.38518137309438</v>
      </c>
      <c r="G41" s="9">
        <v>6.4811640000000004E-4</v>
      </c>
      <c r="H41" s="9">
        <v>5.754447E-2</v>
      </c>
      <c r="I41" s="9">
        <v>0.40689955588079441</v>
      </c>
      <c r="J41" s="9">
        <v>0.74276527331189701</v>
      </c>
      <c r="K41" s="1">
        <f t="shared" si="13"/>
        <v>8.4676141510661829E-2</v>
      </c>
      <c r="L41" s="1">
        <f t="shared" si="14"/>
        <v>223.29828603643543</v>
      </c>
      <c r="M41" s="1">
        <f t="shared" si="15"/>
        <v>13326.551352926381</v>
      </c>
      <c r="N41" s="1">
        <f t="shared" si="16"/>
        <v>2735.5747112148088</v>
      </c>
      <c r="O41">
        <f t="shared" si="0"/>
        <v>2016</v>
      </c>
      <c r="P41" s="2"/>
      <c r="V41" s="9"/>
      <c r="W41" s="9"/>
      <c r="X41" s="9"/>
      <c r="Y41" s="9"/>
      <c r="Z41" s="56"/>
      <c r="AD41">
        <f t="shared" si="20"/>
        <v>11000</v>
      </c>
      <c r="AE41">
        <f t="shared" si="21"/>
        <v>11000</v>
      </c>
    </row>
    <row r="42" spans="1:31" x14ac:dyDescent="0.3">
      <c r="A42">
        <v>2017</v>
      </c>
      <c r="B42" s="2">
        <f t="shared" si="6"/>
        <v>21890</v>
      </c>
      <c r="C42" s="1">
        <v>540.53685721609838</v>
      </c>
      <c r="D42" s="1">
        <v>2236.9022327608304</v>
      </c>
      <c r="E42" s="1">
        <v>13900.006749551398</v>
      </c>
      <c r="F42" s="1">
        <v>5212.5541604716736</v>
      </c>
      <c r="G42" s="9">
        <v>1.2863884466681831E-2</v>
      </c>
      <c r="H42" s="9">
        <v>8.3217529004944571E-2</v>
      </c>
      <c r="I42" s="9">
        <v>0.39669480521137074</v>
      </c>
      <c r="J42" s="9">
        <v>0.4684986003046579</v>
      </c>
      <c r="K42" s="1">
        <f t="shared" si="13"/>
        <v>7.0440171034107903</v>
      </c>
      <c r="L42" s="1">
        <f t="shared" si="14"/>
        <v>203.04650484204521</v>
      </c>
      <c r="M42" s="1">
        <f t="shared" si="15"/>
        <v>9139.7530098873212</v>
      </c>
      <c r="N42" s="1">
        <f>(J42*F42)/(1-J42)</f>
        <v>4594.6714902218555</v>
      </c>
      <c r="O42">
        <f t="shared" si="0"/>
        <v>2017</v>
      </c>
      <c r="P42" s="2"/>
      <c r="V42" s="9"/>
      <c r="W42" s="9"/>
      <c r="X42" s="9"/>
      <c r="Y42" s="9"/>
      <c r="Z42" s="56"/>
      <c r="AD42">
        <f t="shared" si="20"/>
        <v>12000</v>
      </c>
      <c r="AE42">
        <f t="shared" si="21"/>
        <v>12000</v>
      </c>
    </row>
    <row r="43" spans="1:31" x14ac:dyDescent="0.3">
      <c r="A43">
        <v>2018</v>
      </c>
      <c r="B43" s="2">
        <f t="shared" si="6"/>
        <v>21769.081092730827</v>
      </c>
      <c r="C43" s="1">
        <v>717.14690538554794</v>
      </c>
      <c r="D43" s="1">
        <v>9075.0285224097424</v>
      </c>
      <c r="E43" s="1">
        <v>6087.0170182488464</v>
      </c>
      <c r="F43" s="1">
        <v>5889.8886466866888</v>
      </c>
      <c r="G43" s="9">
        <v>4.8495465673959485E-3</v>
      </c>
      <c r="H43" s="9">
        <v>7.9853133903889734E-2</v>
      </c>
      <c r="I43" s="9">
        <v>0.41923861832657283</v>
      </c>
      <c r="J43" s="9">
        <v>0.3746472238042875</v>
      </c>
      <c r="K43" s="1">
        <f t="shared" si="13"/>
        <v>3.494785438056021</v>
      </c>
      <c r="L43" s="1">
        <f t="shared" si="14"/>
        <v>787.55848058924028</v>
      </c>
      <c r="M43" s="1">
        <f t="shared" si="15"/>
        <v>4394.0810890486673</v>
      </c>
      <c r="N43" s="1">
        <f t="shared" si="16"/>
        <v>3528.6169886722714</v>
      </c>
      <c r="O43">
        <f t="shared" si="0"/>
        <v>2018</v>
      </c>
      <c r="V43" s="9"/>
      <c r="W43" s="9"/>
      <c r="X43" s="9"/>
      <c r="Y43" s="9"/>
      <c r="Z43" s="56"/>
      <c r="AD43">
        <f t="shared" si="20"/>
        <v>13000</v>
      </c>
      <c r="AE43">
        <f t="shared" si="21"/>
        <v>13000</v>
      </c>
    </row>
    <row r="44" spans="1:31" x14ac:dyDescent="0.3">
      <c r="A44">
        <v>2019</v>
      </c>
      <c r="B44" s="2">
        <f>SUM(C44:F44)</f>
        <v>21076</v>
      </c>
      <c r="C44" s="1">
        <v>1172.6986089644513</v>
      </c>
      <c r="D44" s="1">
        <v>5700.6182380216378</v>
      </c>
      <c r="E44" s="1">
        <v>12834.534775888716</v>
      </c>
      <c r="F44" s="1">
        <v>1368.1483771251933</v>
      </c>
      <c r="G44" s="9">
        <v>2.3319049826449733E-3</v>
      </c>
      <c r="H44" s="9">
        <v>6.8433964124364227E-2</v>
      </c>
      <c r="I44" s="9">
        <v>0.29393601850478468</v>
      </c>
      <c r="J44" s="9">
        <v>0.5871141491248193</v>
      </c>
      <c r="K44" s="1">
        <f>(G44*C44)/(1-G44)</f>
        <v>2.7410135124522177</v>
      </c>
      <c r="L44" s="1">
        <f t="shared" si="14"/>
        <v>418.77428863191153</v>
      </c>
      <c r="M44" s="1">
        <f t="shared" si="15"/>
        <v>5343.0456024635678</v>
      </c>
      <c r="N44" s="1">
        <f t="shared" si="16"/>
        <v>1945.4754107211902</v>
      </c>
      <c r="O44">
        <f t="shared" si="0"/>
        <v>2019</v>
      </c>
      <c r="V44" s="9"/>
      <c r="W44" s="9"/>
      <c r="X44" s="9"/>
      <c r="Y44" s="9"/>
      <c r="Z44" s="56"/>
      <c r="AD44">
        <f>AD43+1000</f>
        <v>14000</v>
      </c>
      <c r="AE44">
        <f t="shared" si="21"/>
        <v>14000</v>
      </c>
    </row>
    <row r="45" spans="1:31" x14ac:dyDescent="0.3">
      <c r="A45" s="55">
        <v>2020</v>
      </c>
      <c r="B45" s="97">
        <f>SUM(C45:F45)</f>
        <v>29567</v>
      </c>
      <c r="C45" s="98">
        <v>976.71584834779378</v>
      </c>
      <c r="D45" s="98">
        <v>12829.398481889031</v>
      </c>
      <c r="E45" s="98">
        <v>13940.668912551486</v>
      </c>
      <c r="F45" s="98">
        <v>1820.2167572116894</v>
      </c>
      <c r="G45" s="96">
        <v>8.9999999999999993E-3</v>
      </c>
      <c r="H45" s="96">
        <v>4.5999999999999999E-2</v>
      </c>
      <c r="I45" s="96">
        <v>0.193</v>
      </c>
      <c r="J45" s="96">
        <v>0.4</v>
      </c>
      <c r="K45" s="94">
        <f>(G45*C45)/(1-G45)</f>
        <v>8.8702751111303151</v>
      </c>
      <c r="L45" s="94">
        <f t="shared" si="14"/>
        <v>618.60831254391564</v>
      </c>
      <c r="M45" s="94">
        <f t="shared" si="15"/>
        <v>3334.0137547985587</v>
      </c>
      <c r="N45" s="94">
        <f t="shared" si="16"/>
        <v>1213.4778381411263</v>
      </c>
      <c r="O45" s="55">
        <f t="shared" si="0"/>
        <v>2020</v>
      </c>
      <c r="Z45" s="56"/>
      <c r="AD45">
        <f t="shared" si="20"/>
        <v>15000</v>
      </c>
      <c r="AE45">
        <f t="shared" si="21"/>
        <v>15000</v>
      </c>
    </row>
    <row r="46" spans="1:31" x14ac:dyDescent="0.3">
      <c r="G46" s="95"/>
      <c r="H46" s="9"/>
      <c r="I46" s="9"/>
      <c r="J46" s="9"/>
      <c r="U46" s="56"/>
      <c r="V46" s="81"/>
      <c r="W46" s="80"/>
      <c r="X46" s="80"/>
      <c r="Y46" s="80"/>
      <c r="Z46" s="56"/>
      <c r="AD46">
        <f t="shared" si="20"/>
        <v>16000</v>
      </c>
      <c r="AE46">
        <f t="shared" si="21"/>
        <v>16000</v>
      </c>
    </row>
    <row r="47" spans="1:31" x14ac:dyDescent="0.3">
      <c r="U47" s="56"/>
      <c r="V47" s="81"/>
      <c r="W47" s="80"/>
      <c r="X47" s="80"/>
      <c r="Y47" s="80"/>
      <c r="Z47" s="56"/>
      <c r="AD47">
        <f t="shared" si="20"/>
        <v>17000</v>
      </c>
      <c r="AE47">
        <f t="shared" si="21"/>
        <v>17000</v>
      </c>
    </row>
    <row r="48" spans="1:31" x14ac:dyDescent="0.3">
      <c r="U48" s="56"/>
      <c r="V48" s="81"/>
      <c r="W48" s="80"/>
      <c r="X48" s="80"/>
      <c r="Y48" s="80"/>
      <c r="Z48" s="56"/>
      <c r="AD48">
        <f t="shared" si="20"/>
        <v>18000</v>
      </c>
      <c r="AE48">
        <f t="shared" si="21"/>
        <v>18000</v>
      </c>
    </row>
    <row r="49" spans="1:31" x14ac:dyDescent="0.3">
      <c r="U49" s="56"/>
      <c r="V49" s="81"/>
      <c r="W49" s="80"/>
      <c r="X49" s="80"/>
      <c r="Y49" s="80"/>
      <c r="Z49" s="56"/>
      <c r="AD49">
        <f t="shared" si="20"/>
        <v>19000</v>
      </c>
      <c r="AE49">
        <f t="shared" si="21"/>
        <v>19000</v>
      </c>
    </row>
    <row r="50" spans="1:31" x14ac:dyDescent="0.3">
      <c r="U50" s="56"/>
      <c r="V50" s="81"/>
      <c r="W50" s="80"/>
      <c r="X50" s="80"/>
      <c r="Y50" s="80"/>
      <c r="Z50" s="56"/>
      <c r="AD50">
        <f t="shared" si="20"/>
        <v>20000</v>
      </c>
      <c r="AE50">
        <f t="shared" si="21"/>
        <v>20000</v>
      </c>
    </row>
    <row r="51" spans="1:31" x14ac:dyDescent="0.3">
      <c r="U51" s="56"/>
      <c r="V51" s="81"/>
      <c r="W51" s="80"/>
      <c r="X51" s="80"/>
      <c r="Y51" s="80"/>
      <c r="Z51" s="56"/>
      <c r="AD51">
        <f t="shared" si="20"/>
        <v>21000</v>
      </c>
      <c r="AE51">
        <f t="shared" si="21"/>
        <v>21000</v>
      </c>
    </row>
    <row r="52" spans="1:31" x14ac:dyDescent="0.3">
      <c r="M52" s="58" t="s">
        <v>164</v>
      </c>
      <c r="N52" s="59" t="s">
        <v>165</v>
      </c>
      <c r="O52" s="59"/>
      <c r="P52" s="59"/>
      <c r="Q52" s="60"/>
      <c r="U52" s="56"/>
      <c r="V52" s="81"/>
      <c r="W52" s="80"/>
      <c r="X52" s="80"/>
      <c r="Y52" s="80"/>
      <c r="Z52" s="56"/>
      <c r="AD52">
        <f t="shared" si="20"/>
        <v>22000</v>
      </c>
      <c r="AE52">
        <f t="shared" si="21"/>
        <v>22000</v>
      </c>
    </row>
    <row r="53" spans="1:31" x14ac:dyDescent="0.3">
      <c r="M53" s="61" t="s">
        <v>168</v>
      </c>
      <c r="N53" s="62"/>
      <c r="O53" s="62"/>
      <c r="P53" s="62"/>
      <c r="Q53" s="63"/>
      <c r="U53" s="56"/>
      <c r="V53" s="81"/>
      <c r="W53" s="80"/>
      <c r="X53" s="80"/>
      <c r="Y53" s="80"/>
      <c r="Z53" s="56"/>
      <c r="AD53">
        <f t="shared" si="20"/>
        <v>23000</v>
      </c>
      <c r="AE53">
        <f t="shared" si="21"/>
        <v>23000</v>
      </c>
    </row>
    <row r="54" spans="1:31" x14ac:dyDescent="0.3">
      <c r="M54" s="61" t="s">
        <v>162</v>
      </c>
      <c r="N54" s="62"/>
      <c r="O54" s="64">
        <f>AVERAGE(Q12:Q36)</f>
        <v>1.7889066758577497</v>
      </c>
      <c r="P54" s="62"/>
      <c r="Q54" s="63"/>
      <c r="U54" s="56"/>
      <c r="V54" s="81"/>
      <c r="W54" s="80"/>
      <c r="X54" s="80"/>
      <c r="Y54" s="80"/>
      <c r="AD54">
        <f t="shared" si="20"/>
        <v>24000</v>
      </c>
      <c r="AE54">
        <f t="shared" si="21"/>
        <v>24000</v>
      </c>
    </row>
    <row r="55" spans="1:31" x14ac:dyDescent="0.3">
      <c r="M55" s="61" t="s">
        <v>157</v>
      </c>
      <c r="N55" s="65"/>
      <c r="O55" s="64">
        <f>SLOPE(R10:R39,B10:B39)</f>
        <v>-4.7996969391638012E-5</v>
      </c>
      <c r="P55" s="62"/>
      <c r="Q55" s="66">
        <f>1/-O55</f>
        <v>20834.648784600537</v>
      </c>
      <c r="U55" s="56"/>
      <c r="V55" s="81"/>
      <c r="W55" s="80"/>
      <c r="X55" s="80"/>
      <c r="Y55" s="80"/>
      <c r="AD55">
        <f t="shared" si="20"/>
        <v>25000</v>
      </c>
      <c r="AE55">
        <f t="shared" si="21"/>
        <v>25000</v>
      </c>
    </row>
    <row r="56" spans="1:31" x14ac:dyDescent="0.3">
      <c r="A56" t="s">
        <v>176</v>
      </c>
      <c r="M56" s="61" t="s">
        <v>158</v>
      </c>
      <c r="N56" s="62" t="s">
        <v>167</v>
      </c>
      <c r="O56" s="64">
        <f>INTERCEPT(R10:R39,B10:B39)</f>
        <v>1.1353056035364033</v>
      </c>
      <c r="P56" s="62"/>
      <c r="Q56" s="63"/>
      <c r="U56" s="56"/>
      <c r="V56" s="82"/>
      <c r="W56" s="82"/>
      <c r="X56" s="82"/>
      <c r="Y56" s="82"/>
      <c r="AD56">
        <f t="shared" si="20"/>
        <v>26000</v>
      </c>
      <c r="AE56">
        <f t="shared" si="21"/>
        <v>26000</v>
      </c>
    </row>
    <row r="57" spans="1:31" x14ac:dyDescent="0.3">
      <c r="B57" t="s">
        <v>177</v>
      </c>
      <c r="C57" t="s">
        <v>178</v>
      </c>
      <c r="G57" t="s">
        <v>178</v>
      </c>
      <c r="K57" s="56"/>
      <c r="L57" s="56"/>
      <c r="M57" s="61" t="s">
        <v>166</v>
      </c>
      <c r="N57" s="62"/>
      <c r="O57" s="64">
        <f>EXP(O56)</f>
        <v>3.1121244738387306</v>
      </c>
      <c r="P57" s="67" t="s">
        <v>163</v>
      </c>
      <c r="Q57" s="63"/>
      <c r="U57" s="56"/>
      <c r="V57" s="82"/>
      <c r="W57" s="82"/>
      <c r="X57" s="82"/>
      <c r="Y57" s="82"/>
      <c r="AD57">
        <f t="shared" si="20"/>
        <v>27000</v>
      </c>
      <c r="AE57">
        <f t="shared" si="21"/>
        <v>27000</v>
      </c>
    </row>
    <row r="58" spans="1:31" x14ac:dyDescent="0.3">
      <c r="A58">
        <v>1979</v>
      </c>
      <c r="B58">
        <v>8195</v>
      </c>
      <c r="C58">
        <v>43494</v>
      </c>
      <c r="D58">
        <v>5.3073825503355705</v>
      </c>
      <c r="E58">
        <f>LN(D58)</f>
        <v>1.6690987853510026</v>
      </c>
      <c r="K58" s="56"/>
      <c r="L58" s="56"/>
      <c r="M58" s="61" t="s">
        <v>31</v>
      </c>
      <c r="N58" s="62"/>
      <c r="O58" s="64">
        <f>0.5*O56-0.07*O56^2</f>
        <v>0.47742848482872069</v>
      </c>
      <c r="P58" s="62"/>
      <c r="Q58" s="63"/>
      <c r="S58" s="57"/>
      <c r="U58" s="56"/>
      <c r="V58" s="56"/>
      <c r="W58" s="56"/>
      <c r="X58" s="56"/>
      <c r="Y58" s="56"/>
      <c r="AD58">
        <f t="shared" si="20"/>
        <v>28000</v>
      </c>
      <c r="AE58">
        <f t="shared" si="21"/>
        <v>28000</v>
      </c>
    </row>
    <row r="59" spans="1:31" x14ac:dyDescent="0.3">
      <c r="A59">
        <v>1980</v>
      </c>
      <c r="B59">
        <v>10466</v>
      </c>
      <c r="C59">
        <v>37521</v>
      </c>
      <c r="D59">
        <v>3.5850372635199692</v>
      </c>
      <c r="E59">
        <f t="shared" ref="E59:E91" si="23">LN(D59)</f>
        <v>1.276768868284863</v>
      </c>
      <c r="K59" s="56"/>
      <c r="L59" s="56"/>
      <c r="M59" s="61"/>
      <c r="N59" s="62" t="s">
        <v>16</v>
      </c>
      <c r="O59" s="62">
        <f>O56/-O55</f>
        <v>23653.693512869901</v>
      </c>
      <c r="P59" s="62"/>
      <c r="Q59" s="63"/>
      <c r="AD59">
        <f t="shared" si="20"/>
        <v>29000</v>
      </c>
      <c r="AE59">
        <f t="shared" si="21"/>
        <v>29000</v>
      </c>
    </row>
    <row r="60" spans="1:31" x14ac:dyDescent="0.3">
      <c r="A60">
        <v>1981</v>
      </c>
      <c r="B60">
        <v>7147</v>
      </c>
      <c r="C60">
        <v>19470</v>
      </c>
      <c r="D60">
        <v>2.7242199524275921</v>
      </c>
      <c r="E60">
        <f t="shared" si="23"/>
        <v>1.0021821311462666</v>
      </c>
      <c r="K60" s="56"/>
      <c r="L60" s="56"/>
      <c r="M60" s="61"/>
      <c r="N60" s="62" t="s">
        <v>15</v>
      </c>
      <c r="O60" s="68">
        <f>O56/-O55*(0.5-(0.07*O56))</f>
        <v>9947.0548011703795</v>
      </c>
      <c r="P60" s="62"/>
      <c r="Q60" s="63"/>
      <c r="R60" s="91">
        <f>(0.5-(0.07*O56))</f>
        <v>0.42052860775245177</v>
      </c>
      <c r="AD60">
        <f t="shared" si="20"/>
        <v>30000</v>
      </c>
      <c r="AE60">
        <f t="shared" si="21"/>
        <v>30000</v>
      </c>
    </row>
    <row r="61" spans="1:31" x14ac:dyDescent="0.3">
      <c r="A61">
        <v>1982</v>
      </c>
      <c r="B61">
        <v>10625</v>
      </c>
      <c r="C61">
        <v>21909</v>
      </c>
      <c r="D61">
        <v>2.0620235294117646</v>
      </c>
      <c r="E61">
        <f t="shared" si="23"/>
        <v>0.72368779649560178</v>
      </c>
      <c r="K61" s="56"/>
      <c r="L61" s="56"/>
      <c r="M61" s="61"/>
      <c r="N61" s="62" t="s">
        <v>169</v>
      </c>
      <c r="O61" s="69">
        <f>1/-O55</f>
        <v>20834.648784600537</v>
      </c>
      <c r="P61" s="62"/>
      <c r="Q61" s="63"/>
      <c r="R61" s="92">
        <f>R60*O59</f>
        <v>9947.0548011703795</v>
      </c>
      <c r="AD61">
        <f t="shared" si="20"/>
        <v>31000</v>
      </c>
      <c r="AE61">
        <f t="shared" si="21"/>
        <v>31000</v>
      </c>
    </row>
    <row r="62" spans="1:31" x14ac:dyDescent="0.3">
      <c r="A62">
        <v>1983</v>
      </c>
      <c r="B62">
        <v>6826</v>
      </c>
      <c r="C62">
        <v>1617</v>
      </c>
      <c r="D62">
        <v>0.23688836800468796</v>
      </c>
      <c r="E62">
        <f t="shared" si="23"/>
        <v>-1.4401662698895454</v>
      </c>
      <c r="K62" s="56"/>
      <c r="L62" s="56"/>
      <c r="M62" s="61"/>
      <c r="N62" s="62"/>
      <c r="O62" s="69"/>
      <c r="P62" s="62"/>
      <c r="Q62" s="63"/>
      <c r="AD62">
        <f t="shared" si="20"/>
        <v>32000</v>
      </c>
      <c r="AE62">
        <f t="shared" si="21"/>
        <v>32000</v>
      </c>
    </row>
    <row r="63" spans="1:31" x14ac:dyDescent="0.3">
      <c r="A63">
        <v>1984</v>
      </c>
      <c r="B63">
        <v>7821</v>
      </c>
      <c r="C63">
        <v>45905</v>
      </c>
      <c r="D63">
        <v>5.869454034010996</v>
      </c>
      <c r="E63">
        <f t="shared" si="23"/>
        <v>1.769761619976189</v>
      </c>
      <c r="G63" s="2"/>
      <c r="K63" s="56"/>
      <c r="L63" s="56"/>
      <c r="M63" s="61"/>
      <c r="N63" s="62"/>
      <c r="O63" s="69"/>
      <c r="P63" s="62"/>
      <c r="Q63" s="63"/>
      <c r="AD63">
        <f t="shared" si="20"/>
        <v>33000</v>
      </c>
      <c r="AE63">
        <f t="shared" si="21"/>
        <v>33000</v>
      </c>
    </row>
    <row r="64" spans="1:31" x14ac:dyDescent="0.3">
      <c r="A64">
        <v>1985</v>
      </c>
      <c r="B64">
        <v>8145</v>
      </c>
      <c r="C64">
        <v>21258</v>
      </c>
      <c r="D64">
        <v>2.6099447513812155</v>
      </c>
      <c r="E64">
        <f t="shared" si="23"/>
        <v>0.95932905305738148</v>
      </c>
      <c r="G64" s="2"/>
      <c r="K64" s="56"/>
      <c r="L64" s="56"/>
      <c r="M64" s="70" t="s">
        <v>33</v>
      </c>
      <c r="N64" s="71" t="s">
        <v>159</v>
      </c>
      <c r="O64" s="72">
        <f>(O57/-O55)*EXP(-1)</f>
        <v>23853.310465289967</v>
      </c>
      <c r="P64" s="71"/>
      <c r="Q64" s="72"/>
      <c r="R64" s="57"/>
      <c r="AD64">
        <f t="shared" si="20"/>
        <v>34000</v>
      </c>
      <c r="AE64">
        <f t="shared" si="21"/>
        <v>34000</v>
      </c>
    </row>
    <row r="65" spans="1:31" x14ac:dyDescent="0.3">
      <c r="A65">
        <v>1986</v>
      </c>
      <c r="B65">
        <v>4845</v>
      </c>
      <c r="C65">
        <v>26260</v>
      </c>
      <c r="D65">
        <v>5.4200206398348811</v>
      </c>
      <c r="E65">
        <f t="shared" si="23"/>
        <v>1.6900996235319206</v>
      </c>
      <c r="G65" s="2"/>
      <c r="K65" s="56"/>
      <c r="L65" s="56"/>
      <c r="M65" s="56"/>
      <c r="N65" s="56"/>
      <c r="O65" s="56"/>
      <c r="P65" s="56"/>
      <c r="Q65" s="56"/>
      <c r="AD65">
        <f t="shared" si="20"/>
        <v>35000</v>
      </c>
      <c r="AE65">
        <f t="shared" si="21"/>
        <v>35000</v>
      </c>
    </row>
    <row r="66" spans="1:31" x14ac:dyDescent="0.3">
      <c r="A66">
        <v>1987</v>
      </c>
      <c r="B66">
        <v>10224</v>
      </c>
      <c r="C66">
        <v>24072</v>
      </c>
      <c r="D66">
        <v>2.3544600938967135</v>
      </c>
      <c r="E66">
        <f t="shared" si="23"/>
        <v>0.85631144169256501</v>
      </c>
      <c r="G66" s="2">
        <f t="shared" ref="G66:G90" si="24">P12</f>
        <v>15754.281721012991</v>
      </c>
      <c r="H66" s="11">
        <f>(C66-G66)/C66</f>
        <v>0.34553498998782856</v>
      </c>
      <c r="K66" s="56"/>
      <c r="L66" s="56"/>
      <c r="M66" s="56"/>
      <c r="N66" s="56"/>
      <c r="O66" s="56"/>
      <c r="P66" s="56"/>
      <c r="Q66" s="56"/>
      <c r="AD66">
        <f t="shared" si="20"/>
        <v>36000</v>
      </c>
      <c r="AE66">
        <f t="shared" si="21"/>
        <v>36000</v>
      </c>
    </row>
    <row r="67" spans="1:31" x14ac:dyDescent="0.3">
      <c r="A67">
        <v>1988</v>
      </c>
      <c r="B67">
        <v>11811</v>
      </c>
      <c r="C67">
        <v>39175</v>
      </c>
      <c r="D67">
        <v>3.3168233003132674</v>
      </c>
      <c r="E67">
        <f t="shared" si="23"/>
        <v>1.1990074876123744</v>
      </c>
      <c r="G67" s="2">
        <f t="shared" si="24"/>
        <v>24149.417744552433</v>
      </c>
      <c r="H67" s="11">
        <f t="shared" ref="H67:H90" si="25">(C67-G67)/C67</f>
        <v>0.38355028093037824</v>
      </c>
      <c r="K67" s="56"/>
      <c r="L67" s="56"/>
      <c r="M67" s="56"/>
      <c r="N67" s="56"/>
      <c r="O67" s="56"/>
      <c r="P67" s="56"/>
      <c r="Q67" s="56"/>
      <c r="AD67">
        <f t="shared" si="20"/>
        <v>37000</v>
      </c>
      <c r="AE67">
        <f t="shared" si="21"/>
        <v>37000</v>
      </c>
    </row>
    <row r="68" spans="1:31" x14ac:dyDescent="0.3">
      <c r="A68">
        <v>1989</v>
      </c>
      <c r="B68">
        <v>7884</v>
      </c>
      <c r="C68">
        <v>37952</v>
      </c>
      <c r="D68">
        <v>4.8138001014713341</v>
      </c>
      <c r="E68">
        <f t="shared" si="23"/>
        <v>1.5714868140847864</v>
      </c>
      <c r="G68" s="2">
        <f t="shared" si="24"/>
        <v>24371.312181353504</v>
      </c>
      <c r="H68" s="11">
        <f t="shared" si="25"/>
        <v>0.35783852810514588</v>
      </c>
      <c r="K68" s="56"/>
      <c r="L68" s="56"/>
      <c r="M68" s="56"/>
      <c r="N68" s="56"/>
      <c r="O68" s="56"/>
      <c r="P68" s="56"/>
      <c r="Q68" s="56"/>
      <c r="AD68">
        <f t="shared" si="20"/>
        <v>38000</v>
      </c>
      <c r="AE68">
        <f t="shared" si="21"/>
        <v>38000</v>
      </c>
    </row>
    <row r="69" spans="1:31" x14ac:dyDescent="0.3">
      <c r="A69">
        <v>1990</v>
      </c>
      <c r="B69">
        <v>7780</v>
      </c>
      <c r="C69">
        <v>31109</v>
      </c>
      <c r="D69">
        <v>3.9985861182519282</v>
      </c>
      <c r="E69">
        <f t="shared" si="23"/>
        <v>1.3859408281974728</v>
      </c>
      <c r="G69" s="2">
        <f t="shared" si="24"/>
        <v>14245.089209705162</v>
      </c>
      <c r="H69" s="11">
        <f t="shared" si="25"/>
        <v>0.54209106015284447</v>
      </c>
      <c r="K69" s="56"/>
      <c r="L69" s="56"/>
      <c r="M69" s="58" t="s">
        <v>164</v>
      </c>
      <c r="N69" s="59" t="s">
        <v>165</v>
      </c>
      <c r="O69" s="59"/>
      <c r="P69" s="59"/>
      <c r="Q69" s="60"/>
      <c r="AD69">
        <f t="shared" si="20"/>
        <v>39000</v>
      </c>
      <c r="AE69">
        <f t="shared" si="21"/>
        <v>39000</v>
      </c>
    </row>
    <row r="70" spans="1:31" x14ac:dyDescent="0.3">
      <c r="A70">
        <v>1991</v>
      </c>
      <c r="B70">
        <v>10404</v>
      </c>
      <c r="C70">
        <v>14673</v>
      </c>
      <c r="D70">
        <v>1.4103229527104959</v>
      </c>
      <c r="E70">
        <f t="shared" si="23"/>
        <v>0.34381872263892466</v>
      </c>
      <c r="G70" s="2">
        <f t="shared" si="24"/>
        <v>9275.2378892849811</v>
      </c>
      <c r="H70" s="11">
        <f t="shared" si="25"/>
        <v>0.36787038170210717</v>
      </c>
      <c r="K70" s="56"/>
      <c r="L70" s="56"/>
      <c r="M70" s="61" t="s">
        <v>168</v>
      </c>
      <c r="N70" s="62"/>
      <c r="O70" s="62"/>
      <c r="P70" s="62"/>
      <c r="Q70" s="63"/>
      <c r="AD70">
        <f t="shared" si="20"/>
        <v>40000</v>
      </c>
      <c r="AE70">
        <f t="shared" si="21"/>
        <v>40000</v>
      </c>
    </row>
    <row r="71" spans="1:31" x14ac:dyDescent="0.3">
      <c r="A71">
        <v>1992</v>
      </c>
      <c r="B71">
        <v>11335</v>
      </c>
      <c r="C71">
        <v>14236</v>
      </c>
      <c r="D71">
        <v>1.2559329510366122</v>
      </c>
      <c r="E71">
        <f t="shared" si="23"/>
        <v>0.22787868368845385</v>
      </c>
      <c r="G71" s="2">
        <f t="shared" si="24"/>
        <v>8749.8744954183676</v>
      </c>
      <c r="H71" s="11">
        <f t="shared" si="25"/>
        <v>0.38536987247693399</v>
      </c>
      <c r="K71" s="56"/>
      <c r="L71" s="56"/>
      <c r="M71" s="61" t="s">
        <v>162</v>
      </c>
      <c r="N71" s="62"/>
      <c r="O71" s="64">
        <f>AVERAGE(D58:D91)</f>
        <v>3.0662102203356945</v>
      </c>
      <c r="P71" s="62"/>
      <c r="Q71" s="63"/>
    </row>
    <row r="72" spans="1:31" x14ac:dyDescent="0.3">
      <c r="A72">
        <v>1993</v>
      </c>
      <c r="B72">
        <v>13399</v>
      </c>
      <c r="C72">
        <v>41232</v>
      </c>
      <c r="D72">
        <v>3.0772445704903353</v>
      </c>
      <c r="E72">
        <f t="shared" si="23"/>
        <v>1.1240345766035384</v>
      </c>
      <c r="G72" s="2">
        <f t="shared" si="24"/>
        <v>35309.128075744498</v>
      </c>
      <c r="H72" s="11">
        <f t="shared" si="25"/>
        <v>0.14364745644779545</v>
      </c>
      <c r="K72" s="56"/>
      <c r="L72" s="56"/>
      <c r="M72" s="61" t="s">
        <v>157</v>
      </c>
      <c r="N72" s="65"/>
      <c r="O72" s="64">
        <f>SLOPE(E58:E91,B58:B91)</f>
        <v>-6.2305581772392665E-5</v>
      </c>
      <c r="P72" s="62"/>
      <c r="Q72" s="66">
        <f>1/-O72</f>
        <v>16049.926371814983</v>
      </c>
    </row>
    <row r="73" spans="1:31" x14ac:dyDescent="0.3">
      <c r="A73">
        <v>1994</v>
      </c>
      <c r="B73">
        <v>8816</v>
      </c>
      <c r="C73">
        <v>87242</v>
      </c>
      <c r="D73">
        <v>9.8958711433756807</v>
      </c>
      <c r="E73">
        <f t="shared" si="23"/>
        <v>2.2921176139237303</v>
      </c>
      <c r="G73" s="2">
        <f t="shared" si="24"/>
        <v>56646.806756607446</v>
      </c>
      <c r="H73" s="11">
        <f t="shared" si="25"/>
        <v>0.35069339588033921</v>
      </c>
      <c r="K73" s="56"/>
      <c r="L73" s="56"/>
      <c r="M73" s="61" t="s">
        <v>158</v>
      </c>
      <c r="N73" s="62" t="s">
        <v>167</v>
      </c>
      <c r="O73" s="64">
        <f>INTERCEPT(E58:E91,B58:B91)</f>
        <v>1.6535852250287011</v>
      </c>
      <c r="P73" s="62"/>
      <c r="Q73" s="63"/>
    </row>
    <row r="74" spans="1:31" x14ac:dyDescent="0.3">
      <c r="A74">
        <v>1995</v>
      </c>
      <c r="B74">
        <v>8049</v>
      </c>
      <c r="C74">
        <v>24258</v>
      </c>
      <c r="D74">
        <v>3.013790532985464</v>
      </c>
      <c r="E74">
        <f t="shared" si="23"/>
        <v>1.1031985997750919</v>
      </c>
      <c r="G74" s="2">
        <f t="shared" si="24"/>
        <v>13096.80445655019</v>
      </c>
      <c r="H74" s="11">
        <f t="shared" si="25"/>
        <v>0.46010369954035002</v>
      </c>
      <c r="K74" s="56"/>
      <c r="L74" s="56"/>
      <c r="M74" s="61" t="s">
        <v>166</v>
      </c>
      <c r="N74" s="62"/>
      <c r="O74" s="64">
        <f>EXP(O73)</f>
        <v>5.2256815264479624</v>
      </c>
      <c r="P74" s="67" t="s">
        <v>163</v>
      </c>
      <c r="Q74" s="63"/>
    </row>
    <row r="75" spans="1:31" x14ac:dyDescent="0.3">
      <c r="A75">
        <v>1996</v>
      </c>
      <c r="B75">
        <v>18464</v>
      </c>
      <c r="C75">
        <v>13757</v>
      </c>
      <c r="D75">
        <v>0.74507149046793764</v>
      </c>
      <c r="E75">
        <f t="shared" si="23"/>
        <v>-0.2942751048468305</v>
      </c>
      <c r="G75" s="2">
        <f t="shared" si="24"/>
        <v>8733.3051793150935</v>
      </c>
      <c r="H75" s="11">
        <f t="shared" si="25"/>
        <v>0.36517371670312615</v>
      </c>
      <c r="K75" s="56"/>
      <c r="L75" s="56"/>
      <c r="M75" s="61" t="s">
        <v>31</v>
      </c>
      <c r="N75" s="62"/>
      <c r="O75" s="64">
        <f>0.5*O73-0.07*O73^2</f>
        <v>0.63538852576402505</v>
      </c>
      <c r="P75" s="62"/>
      <c r="Q75" s="63"/>
    </row>
    <row r="76" spans="1:31" x14ac:dyDescent="0.3">
      <c r="A76">
        <v>1997</v>
      </c>
      <c r="B76">
        <v>24227</v>
      </c>
      <c r="C76">
        <v>12526</v>
      </c>
      <c r="D76">
        <v>0.51702645808395586</v>
      </c>
      <c r="E76">
        <f t="shared" si="23"/>
        <v>-0.65966122960529949</v>
      </c>
      <c r="G76" s="2">
        <f t="shared" si="24"/>
        <v>7613.4943525598246</v>
      </c>
      <c r="H76" s="11">
        <f t="shared" si="25"/>
        <v>0.39218470760339896</v>
      </c>
      <c r="K76" s="56"/>
      <c r="L76" s="56"/>
      <c r="M76" s="61"/>
      <c r="N76" s="62" t="s">
        <v>16</v>
      </c>
      <c r="O76" s="62">
        <f>O73/-O72</f>
        <v>26539.921111231764</v>
      </c>
      <c r="P76" s="62"/>
      <c r="Q76" s="63"/>
    </row>
    <row r="77" spans="1:31" x14ac:dyDescent="0.3">
      <c r="A77">
        <v>1998</v>
      </c>
      <c r="B77">
        <v>24876</v>
      </c>
      <c r="C77">
        <v>55974</v>
      </c>
      <c r="D77">
        <v>2.2501205981669079</v>
      </c>
      <c r="E77">
        <f t="shared" si="23"/>
        <v>0.81098381396523611</v>
      </c>
      <c r="G77" s="2">
        <f t="shared" si="24"/>
        <v>40692.68302881749</v>
      </c>
      <c r="H77" s="11">
        <f t="shared" si="25"/>
        <v>0.27300741364173564</v>
      </c>
      <c r="K77" s="56"/>
      <c r="L77" s="56"/>
      <c r="M77" s="61"/>
      <c r="N77" s="62" t="s">
        <v>15</v>
      </c>
      <c r="O77" s="68">
        <f>O73/-O72*(0.5-(0.07*O73))</f>
        <v>10197.93905600867</v>
      </c>
      <c r="P77" s="62"/>
      <c r="Q77" s="63"/>
    </row>
    <row r="78" spans="1:31" x14ac:dyDescent="0.3">
      <c r="A78">
        <v>1999</v>
      </c>
      <c r="B78">
        <v>12717</v>
      </c>
      <c r="C78">
        <v>83850</v>
      </c>
      <c r="D78">
        <v>6.5935362113706066</v>
      </c>
      <c r="E78">
        <f t="shared" si="23"/>
        <v>1.886089807230608</v>
      </c>
      <c r="G78" s="2">
        <f t="shared" si="24"/>
        <v>47213.559611635392</v>
      </c>
      <c r="H78" s="11">
        <f t="shared" si="25"/>
        <v>0.43692832902044854</v>
      </c>
      <c r="K78" s="56"/>
      <c r="L78" s="56"/>
      <c r="M78" s="61"/>
      <c r="N78" s="62" t="s">
        <v>169</v>
      </c>
      <c r="O78" s="69">
        <f>1/-O72</f>
        <v>16049.926371814983</v>
      </c>
      <c r="P78" s="62"/>
      <c r="Q78" s="63"/>
    </row>
    <row r="79" spans="1:31" x14ac:dyDescent="0.3">
      <c r="A79">
        <v>2000</v>
      </c>
      <c r="B79">
        <v>7545</v>
      </c>
      <c r="C79">
        <v>23971</v>
      </c>
      <c r="D79">
        <v>3.1770709078860171</v>
      </c>
      <c r="E79">
        <f t="shared" si="23"/>
        <v>1.1559596741714608</v>
      </c>
      <c r="G79" s="2">
        <f t="shared" si="24"/>
        <v>19289.249152868011</v>
      </c>
      <c r="H79" s="11">
        <f t="shared" si="25"/>
        <v>0.19530895027875303</v>
      </c>
      <c r="K79" s="56"/>
      <c r="L79" s="56"/>
      <c r="M79" s="61"/>
      <c r="N79" s="62"/>
      <c r="O79" s="69"/>
      <c r="P79" s="62"/>
      <c r="Q79" s="63"/>
    </row>
    <row r="80" spans="1:31" x14ac:dyDescent="0.3">
      <c r="A80">
        <v>2001</v>
      </c>
      <c r="B80">
        <v>18683</v>
      </c>
      <c r="C80">
        <v>23885</v>
      </c>
      <c r="D80">
        <v>1.2784349408553231</v>
      </c>
      <c r="E80">
        <f t="shared" si="23"/>
        <v>0.24563662736422481</v>
      </c>
      <c r="G80" s="2">
        <f t="shared" si="24"/>
        <v>18610.256458263844</v>
      </c>
      <c r="H80" s="11">
        <f t="shared" si="25"/>
        <v>0.22083916858849301</v>
      </c>
      <c r="K80" s="56"/>
      <c r="L80" s="56"/>
      <c r="M80" s="61"/>
      <c r="N80" s="62"/>
      <c r="O80" s="69"/>
      <c r="P80" s="62"/>
      <c r="Q80" s="63"/>
    </row>
    <row r="81" spans="1:17" x14ac:dyDescent="0.3">
      <c r="A81">
        <v>2002</v>
      </c>
      <c r="B81">
        <v>25984</v>
      </c>
      <c r="C81">
        <v>30409</v>
      </c>
      <c r="D81">
        <v>1.1702971059113301</v>
      </c>
      <c r="E81">
        <f t="shared" si="23"/>
        <v>0.15725765324955468</v>
      </c>
      <c r="G81" s="2">
        <f t="shared" si="24"/>
        <v>17310.646448022399</v>
      </c>
      <c r="H81" s="11">
        <f t="shared" si="25"/>
        <v>0.43073937163266141</v>
      </c>
      <c r="K81" s="56"/>
      <c r="L81" s="56"/>
      <c r="M81" s="70" t="s">
        <v>33</v>
      </c>
      <c r="N81" s="71" t="s">
        <v>159</v>
      </c>
      <c r="O81" s="72">
        <f>(O74/-O72)*EXP(-1)</f>
        <v>30854.712290663858</v>
      </c>
      <c r="P81" s="71"/>
      <c r="Q81" s="72"/>
    </row>
    <row r="82" spans="1:17" x14ac:dyDescent="0.3">
      <c r="A82">
        <v>2003</v>
      </c>
      <c r="B82">
        <v>24254</v>
      </c>
      <c r="C82">
        <v>36114</v>
      </c>
      <c r="D82">
        <v>1.4889915065556196</v>
      </c>
      <c r="E82">
        <f t="shared" si="23"/>
        <v>0.39809904955908865</v>
      </c>
      <c r="G82" s="2">
        <f t="shared" si="24"/>
        <v>20836.818626455726</v>
      </c>
      <c r="H82" s="11">
        <f t="shared" si="25"/>
        <v>0.42302656514216852</v>
      </c>
    </row>
    <row r="83" spans="1:17" x14ac:dyDescent="0.3">
      <c r="A83">
        <v>2004</v>
      </c>
      <c r="B83">
        <v>18624</v>
      </c>
      <c r="C83">
        <v>18254</v>
      </c>
      <c r="D83">
        <v>0.98013316151202745</v>
      </c>
      <c r="E83">
        <f t="shared" si="23"/>
        <v>-2.0066837454341801E-2</v>
      </c>
      <c r="G83" s="2">
        <f t="shared" si="24"/>
        <v>9904.2332794345093</v>
      </c>
      <c r="H83" s="11">
        <f t="shared" si="25"/>
        <v>0.45742120743757481</v>
      </c>
    </row>
    <row r="84" spans="1:17" x14ac:dyDescent="0.3">
      <c r="A84">
        <v>2005</v>
      </c>
      <c r="B84">
        <v>8542</v>
      </c>
      <c r="C84">
        <v>23390</v>
      </c>
      <c r="D84">
        <v>2.7382346054788105</v>
      </c>
      <c r="E84">
        <f t="shared" si="23"/>
        <v>1.0073134081768129</v>
      </c>
      <c r="G84" s="2">
        <f t="shared" si="24"/>
        <v>18424.169305496227</v>
      </c>
      <c r="H84" s="11">
        <f t="shared" si="25"/>
        <v>0.21230571588301722</v>
      </c>
    </row>
    <row r="85" spans="1:17" x14ac:dyDescent="0.3">
      <c r="A85">
        <v>2006</v>
      </c>
      <c r="B85">
        <v>15736</v>
      </c>
      <c r="C85">
        <v>24697</v>
      </c>
      <c r="D85">
        <v>1.5694585663446874</v>
      </c>
      <c r="E85">
        <f t="shared" si="23"/>
        <v>0.45073069768073681</v>
      </c>
      <c r="G85" s="2">
        <f t="shared" si="24"/>
        <v>18937.177272052839</v>
      </c>
      <c r="H85" s="11">
        <f t="shared" si="25"/>
        <v>0.23321952981929631</v>
      </c>
    </row>
    <row r="86" spans="1:17" x14ac:dyDescent="0.3">
      <c r="A86">
        <v>2007</v>
      </c>
      <c r="B86">
        <v>8667</v>
      </c>
      <c r="C86">
        <v>43474</v>
      </c>
      <c r="D86">
        <v>5.016037844698281</v>
      </c>
      <c r="E86">
        <f t="shared" si="23"/>
        <v>1.6126403480984657</v>
      </c>
      <c r="G86" s="2">
        <f t="shared" si="24"/>
        <v>28190.960468114725</v>
      </c>
      <c r="H86" s="11">
        <f t="shared" si="25"/>
        <v>0.35154436058069821</v>
      </c>
    </row>
    <row r="87" spans="1:17" x14ac:dyDescent="0.3">
      <c r="A87">
        <v>2008</v>
      </c>
      <c r="B87">
        <v>12392</v>
      </c>
      <c r="C87">
        <v>23260</v>
      </c>
      <c r="D87">
        <v>1.8770174306003873</v>
      </c>
      <c r="E87">
        <f t="shared" si="23"/>
        <v>0.62968404397595079</v>
      </c>
      <c r="G87" s="2">
        <f t="shared" si="24"/>
        <v>18662.939938310243</v>
      </c>
      <c r="H87" s="11">
        <f t="shared" si="25"/>
        <v>0.19763800781125354</v>
      </c>
    </row>
    <row r="88" spans="1:17" x14ac:dyDescent="0.3">
      <c r="A88">
        <v>2009</v>
      </c>
      <c r="B88">
        <v>8624</v>
      </c>
      <c r="C88">
        <v>20267</v>
      </c>
      <c r="D88">
        <v>2.350069573283859</v>
      </c>
      <c r="E88">
        <f t="shared" si="23"/>
        <v>0.85444493337053484</v>
      </c>
      <c r="G88" s="2">
        <f t="shared" si="24"/>
        <v>15018.000380125683</v>
      </c>
      <c r="H88" s="11">
        <f t="shared" si="25"/>
        <v>0.25899243202616656</v>
      </c>
    </row>
    <row r="89" spans="1:17" x14ac:dyDescent="0.3">
      <c r="A89">
        <v>2010</v>
      </c>
      <c r="B89">
        <v>15385</v>
      </c>
      <c r="C89">
        <v>48390</v>
      </c>
      <c r="D89">
        <v>3.1452713682157944</v>
      </c>
      <c r="E89">
        <f t="shared" si="23"/>
        <v>1.1459001720312221</v>
      </c>
      <c r="G89" s="2">
        <f t="shared" si="24"/>
        <v>57129.894673038951</v>
      </c>
      <c r="H89" s="11">
        <f t="shared" si="25"/>
        <v>-0.18061365309028624</v>
      </c>
    </row>
    <row r="90" spans="1:17" x14ac:dyDescent="0.3">
      <c r="A90">
        <v>2011</v>
      </c>
      <c r="B90">
        <v>14438</v>
      </c>
      <c r="C90">
        <v>30141</v>
      </c>
      <c r="D90">
        <v>2.0876160132982409</v>
      </c>
      <c r="E90">
        <f t="shared" si="23"/>
        <v>0.73602275143131768</v>
      </c>
      <c r="G90" s="2">
        <f t="shared" si="24"/>
        <v>21410.355009985153</v>
      </c>
      <c r="H90" s="11">
        <f t="shared" si="25"/>
        <v>0.2896600972102733</v>
      </c>
    </row>
    <row r="91" spans="1:17" x14ac:dyDescent="0.3">
      <c r="A91">
        <v>2012</v>
      </c>
      <c r="B91">
        <v>12516</v>
      </c>
      <c r="C91">
        <v>79038</v>
      </c>
      <c r="D91">
        <v>6.3149568552253115</v>
      </c>
      <c r="E91">
        <f t="shared" si="23"/>
        <v>1.8429209236691093</v>
      </c>
      <c r="G91" s="2">
        <f>P37</f>
        <v>58342.597125496919</v>
      </c>
    </row>
  </sheetData>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E91"/>
  <sheetViews>
    <sheetView workbookViewId="0">
      <pane xSplit="2" ySplit="3" topLeftCell="C16" activePane="bottomRight" state="frozen"/>
      <selection pane="topRight" activeCell="C1" sqref="C1"/>
      <selection pane="bottomLeft" activeCell="A4" sqref="A4"/>
      <selection pane="bottomRight" activeCell="G45" sqref="G45:O45"/>
    </sheetView>
  </sheetViews>
  <sheetFormatPr defaultRowHeight="14.4" x14ac:dyDescent="0.3"/>
  <cols>
    <col min="2" max="2" width="10.5546875" bestFit="1" customWidth="1"/>
    <col min="3" max="6" width="9" customWidth="1"/>
    <col min="15" max="15" width="11.5546875" bestFit="1" customWidth="1"/>
    <col min="16" max="17" width="12.77734375" bestFit="1" customWidth="1"/>
    <col min="18" max="18" width="12" bestFit="1" customWidth="1"/>
    <col min="19" max="19" width="12.77734375" bestFit="1" customWidth="1"/>
    <col min="20" max="20" width="11.5546875" bestFit="1" customWidth="1"/>
  </cols>
  <sheetData>
    <row r="1" spans="1:25" x14ac:dyDescent="0.3">
      <c r="C1" t="s">
        <v>152</v>
      </c>
      <c r="S1" s="73">
        <f>O56</f>
        <v>0.81517330653910425</v>
      </c>
      <c r="T1" s="73"/>
    </row>
    <row r="2" spans="1:25" x14ac:dyDescent="0.3">
      <c r="A2" t="s">
        <v>204</v>
      </c>
      <c r="B2" t="s">
        <v>150</v>
      </c>
      <c r="C2" t="s">
        <v>170</v>
      </c>
      <c r="G2" t="s">
        <v>153</v>
      </c>
      <c r="K2" t="s">
        <v>154</v>
      </c>
      <c r="O2" t="s">
        <v>172</v>
      </c>
      <c r="S2" s="73">
        <f>-O55</f>
        <v>9.7922203203686651E-4</v>
      </c>
      <c r="T2" s="73"/>
    </row>
    <row r="3" spans="1:25" x14ac:dyDescent="0.3">
      <c r="A3" t="s">
        <v>12</v>
      </c>
      <c r="B3" t="s">
        <v>151</v>
      </c>
      <c r="C3">
        <v>2</v>
      </c>
      <c r="D3">
        <v>3</v>
      </c>
      <c r="E3">
        <v>4</v>
      </c>
      <c r="F3">
        <v>5</v>
      </c>
      <c r="G3">
        <v>2</v>
      </c>
      <c r="H3">
        <v>3</v>
      </c>
      <c r="I3">
        <v>4</v>
      </c>
      <c r="J3">
        <v>5</v>
      </c>
      <c r="K3">
        <v>2</v>
      </c>
      <c r="L3">
        <v>3</v>
      </c>
      <c r="M3">
        <v>4</v>
      </c>
      <c r="N3">
        <v>5</v>
      </c>
      <c r="P3" t="s">
        <v>156</v>
      </c>
      <c r="Q3" t="s">
        <v>155</v>
      </c>
      <c r="R3" t="s">
        <v>171</v>
      </c>
      <c r="S3" t="s">
        <v>173</v>
      </c>
    </row>
    <row r="4" spans="1:25" x14ac:dyDescent="0.3">
      <c r="A4">
        <v>1979</v>
      </c>
      <c r="B4" s="1">
        <v>56</v>
      </c>
      <c r="C4" s="1"/>
      <c r="O4">
        <f>A4</f>
        <v>1979</v>
      </c>
      <c r="P4" s="2">
        <f>SUM(C4:F4,K4:N4)</f>
        <v>0</v>
      </c>
    </row>
    <row r="5" spans="1:25" x14ac:dyDescent="0.3">
      <c r="A5">
        <v>1980</v>
      </c>
      <c r="B5" s="1">
        <v>185</v>
      </c>
      <c r="C5" s="1"/>
      <c r="O5">
        <f t="shared" ref="O5:O44" si="0">A5</f>
        <v>1980</v>
      </c>
      <c r="P5" s="2">
        <f t="shared" ref="P5:P6" si="1">SUM(C5:F5,K5:N5)</f>
        <v>0</v>
      </c>
    </row>
    <row r="6" spans="1:25" x14ac:dyDescent="0.3">
      <c r="A6">
        <v>1981</v>
      </c>
      <c r="B6" s="1">
        <v>175</v>
      </c>
      <c r="C6" s="1"/>
      <c r="O6">
        <f t="shared" si="0"/>
        <v>1981</v>
      </c>
      <c r="P6" s="2">
        <f t="shared" si="1"/>
        <v>0</v>
      </c>
    </row>
    <row r="7" spans="1:25" x14ac:dyDescent="0.3">
      <c r="A7">
        <v>1982</v>
      </c>
      <c r="B7" s="1">
        <v>125</v>
      </c>
      <c r="C7" s="1"/>
      <c r="O7">
        <f t="shared" si="0"/>
        <v>1982</v>
      </c>
      <c r="P7" s="2"/>
    </row>
    <row r="8" spans="1:25" x14ac:dyDescent="0.3">
      <c r="A8">
        <v>1983</v>
      </c>
      <c r="B8" s="1">
        <v>0</v>
      </c>
      <c r="C8" s="1"/>
      <c r="G8" s="9"/>
      <c r="H8" s="9"/>
      <c r="I8" s="9"/>
      <c r="J8" s="9"/>
      <c r="O8">
        <f t="shared" si="0"/>
        <v>1983</v>
      </c>
      <c r="P8" s="2"/>
    </row>
    <row r="9" spans="1:25" x14ac:dyDescent="0.3">
      <c r="A9">
        <v>1984</v>
      </c>
      <c r="B9" s="1">
        <v>0</v>
      </c>
      <c r="C9" s="1"/>
      <c r="G9" s="9">
        <v>5.5736389999999997E-2</v>
      </c>
      <c r="H9" s="9">
        <v>0.19041469999999999</v>
      </c>
      <c r="I9" s="9">
        <v>0.48755700000000002</v>
      </c>
      <c r="J9" s="9">
        <v>0.50445640000000003</v>
      </c>
      <c r="K9" s="1">
        <f t="shared" ref="K9:N24" si="2">(G9*C9)/(1-G9)</f>
        <v>0</v>
      </c>
      <c r="L9" s="1">
        <f t="shared" si="2"/>
        <v>0</v>
      </c>
      <c r="M9" s="1">
        <f t="shared" si="2"/>
        <v>0</v>
      </c>
      <c r="N9" s="1">
        <f t="shared" si="2"/>
        <v>0</v>
      </c>
      <c r="O9">
        <f t="shared" si="0"/>
        <v>1984</v>
      </c>
      <c r="P9" s="2"/>
      <c r="V9" s="9"/>
      <c r="W9" s="9"/>
      <c r="X9" s="9"/>
      <c r="Y9" s="9"/>
    </row>
    <row r="10" spans="1:25" x14ac:dyDescent="0.3">
      <c r="A10">
        <v>1985</v>
      </c>
      <c r="B10" s="2">
        <v>0</v>
      </c>
      <c r="C10" s="1"/>
      <c r="D10" s="1"/>
      <c r="E10" s="1"/>
      <c r="F10" s="1"/>
      <c r="G10" s="9">
        <v>0.104335</v>
      </c>
      <c r="H10" s="9">
        <v>0.31095400000000001</v>
      </c>
      <c r="I10" s="9">
        <v>0.30804219999999999</v>
      </c>
      <c r="J10" s="9">
        <v>0.50897250000000005</v>
      </c>
      <c r="K10" s="1">
        <f t="shared" si="2"/>
        <v>0</v>
      </c>
      <c r="L10" s="1">
        <f t="shared" si="2"/>
        <v>0</v>
      </c>
      <c r="M10" s="1">
        <f t="shared" si="2"/>
        <v>0</v>
      </c>
      <c r="N10" s="1">
        <f t="shared" si="2"/>
        <v>0</v>
      </c>
      <c r="O10">
        <f t="shared" si="0"/>
        <v>1985</v>
      </c>
      <c r="P10" s="2">
        <f t="shared" ref="P10:P38" si="3">SUM(F15,E14,D13,C12,K12,L13,M14,N15)</f>
        <v>59.585033018415544</v>
      </c>
      <c r="Q10" s="9"/>
      <c r="R10" s="9"/>
      <c r="S10" s="74">
        <f t="shared" ref="S10:S11" si="4">B10*EXP($S$1-$S$2*B10)</f>
        <v>0</v>
      </c>
      <c r="T10" s="1">
        <f t="shared" ref="T10:T11" si="5">P10-S10</f>
        <v>59.585033018415544</v>
      </c>
      <c r="V10" s="9"/>
      <c r="W10" s="9"/>
      <c r="X10" s="9"/>
      <c r="Y10" s="9"/>
    </row>
    <row r="11" spans="1:25" x14ac:dyDescent="0.3">
      <c r="A11">
        <v>1986</v>
      </c>
      <c r="B11" s="2">
        <v>40</v>
      </c>
      <c r="C11" s="1"/>
      <c r="D11" s="1"/>
      <c r="E11" s="1"/>
      <c r="F11" s="1"/>
      <c r="G11" s="9">
        <v>4.1086009999999999E-2</v>
      </c>
      <c r="H11" s="9">
        <v>0.2045862</v>
      </c>
      <c r="I11" s="9">
        <v>0.29562169999999999</v>
      </c>
      <c r="J11" s="9">
        <v>0.38931110000000002</v>
      </c>
      <c r="K11" s="1">
        <f t="shared" si="2"/>
        <v>0</v>
      </c>
      <c r="L11" s="1">
        <f t="shared" si="2"/>
        <v>0</v>
      </c>
      <c r="M11" s="1">
        <f t="shared" si="2"/>
        <v>0</v>
      </c>
      <c r="N11" s="1">
        <f t="shared" si="2"/>
        <v>0</v>
      </c>
      <c r="O11">
        <f t="shared" si="0"/>
        <v>1986</v>
      </c>
      <c r="P11" s="2">
        <f t="shared" si="3"/>
        <v>41.854290319645443</v>
      </c>
      <c r="Q11" s="9"/>
      <c r="R11" s="9"/>
      <c r="S11" s="74">
        <f t="shared" si="4"/>
        <v>86.910936801177002</v>
      </c>
      <c r="T11" s="1">
        <f t="shared" si="5"/>
        <v>-45.056646481531558</v>
      </c>
      <c r="V11" s="9"/>
      <c r="W11" s="9"/>
      <c r="X11" s="9"/>
      <c r="Y11" s="9"/>
    </row>
    <row r="12" spans="1:25" x14ac:dyDescent="0.3">
      <c r="A12">
        <v>1987</v>
      </c>
      <c r="B12" s="2">
        <v>33</v>
      </c>
      <c r="C12" s="1"/>
      <c r="D12" s="1"/>
      <c r="E12" s="1"/>
      <c r="F12" s="1"/>
      <c r="G12" s="9">
        <v>3.5541059999999999E-2</v>
      </c>
      <c r="H12" s="9">
        <v>0.122976</v>
      </c>
      <c r="I12" s="9">
        <v>0.2822519</v>
      </c>
      <c r="J12" s="9">
        <v>0.43342900000000001</v>
      </c>
      <c r="K12" s="1">
        <f>(G12*C12)/(1-G12)</f>
        <v>0</v>
      </c>
      <c r="L12" s="1">
        <f t="shared" si="2"/>
        <v>0</v>
      </c>
      <c r="M12" s="1">
        <f t="shared" si="2"/>
        <v>0</v>
      </c>
      <c r="N12" s="1">
        <f t="shared" si="2"/>
        <v>0</v>
      </c>
      <c r="O12">
        <f t="shared" si="0"/>
        <v>1987</v>
      </c>
      <c r="P12" s="2">
        <f t="shared" si="3"/>
        <v>65.147566279299795</v>
      </c>
      <c r="Q12" s="9"/>
      <c r="R12" s="9"/>
      <c r="S12" s="74">
        <f>B12*EXP($S$1-$S$2*B12)</f>
        <v>72.19469313762292</v>
      </c>
      <c r="T12" s="1">
        <f>P12-S12</f>
        <v>-7.047126858323125</v>
      </c>
      <c r="V12" s="9"/>
      <c r="W12" s="9"/>
      <c r="X12" s="9"/>
      <c r="Y12" s="9"/>
    </row>
    <row r="13" spans="1:25" x14ac:dyDescent="0.3">
      <c r="A13">
        <v>1988</v>
      </c>
      <c r="B13" s="2">
        <v>40</v>
      </c>
      <c r="C13" s="1"/>
      <c r="D13" s="1"/>
      <c r="E13" s="1"/>
      <c r="F13" s="1"/>
      <c r="G13" s="9">
        <v>3.9083630000000001E-2</v>
      </c>
      <c r="H13" s="9">
        <v>0.1041262</v>
      </c>
      <c r="I13" s="9">
        <v>0.26211849999999998</v>
      </c>
      <c r="J13" s="9">
        <v>0.44390420000000003</v>
      </c>
      <c r="K13" s="1">
        <f t="shared" ref="K13:N44" si="6">(G13*C13)/(1-G13)</f>
        <v>0</v>
      </c>
      <c r="L13" s="1">
        <f t="shared" si="2"/>
        <v>0</v>
      </c>
      <c r="M13" s="1">
        <f t="shared" si="2"/>
        <v>0</v>
      </c>
      <c r="N13" s="1">
        <f t="shared" si="2"/>
        <v>0</v>
      </c>
      <c r="O13">
        <f t="shared" si="0"/>
        <v>1988</v>
      </c>
      <c r="P13" s="2">
        <f t="shared" si="3"/>
        <v>1175.6868193447435</v>
      </c>
      <c r="Q13" s="9"/>
      <c r="R13" s="9"/>
      <c r="S13" s="74">
        <f t="shared" ref="S13:S39" si="7">B13*EXP($S$1-$S$2*B13)</f>
        <v>86.910936801177002</v>
      </c>
      <c r="T13" s="1">
        <f t="shared" ref="T13:T39" si="8">S13-P13</f>
        <v>-1088.7758825435665</v>
      </c>
      <c r="V13" s="9"/>
      <c r="W13" s="9"/>
      <c r="X13" s="9"/>
      <c r="Y13" s="9"/>
    </row>
    <row r="14" spans="1:25" x14ac:dyDescent="0.3">
      <c r="A14">
        <v>1989</v>
      </c>
      <c r="B14" s="2">
        <f t="shared" ref="B14:B43" si="9">SUM(C14:F14)</f>
        <v>176</v>
      </c>
      <c r="C14" s="1">
        <v>3.8790730568965048</v>
      </c>
      <c r="D14" s="1">
        <v>30.975411464070362</v>
      </c>
      <c r="E14" s="1">
        <v>46.141320823224689</v>
      </c>
      <c r="F14" s="1">
        <v>95.004194655808433</v>
      </c>
      <c r="G14" s="9">
        <v>5.4905809999999999E-2</v>
      </c>
      <c r="H14" s="9">
        <v>0.1086848</v>
      </c>
      <c r="I14" s="9">
        <v>0.2256223</v>
      </c>
      <c r="J14" s="9">
        <v>0.35944100000000001</v>
      </c>
      <c r="K14" s="1">
        <f t="shared" si="6"/>
        <v>0.2253570601656949</v>
      </c>
      <c r="L14" s="1">
        <f t="shared" si="2"/>
        <v>3.7770660703308936</v>
      </c>
      <c r="M14" s="1">
        <f t="shared" si="2"/>
        <v>13.443712195190857</v>
      </c>
      <c r="N14" s="1">
        <f t="shared" si="2"/>
        <v>53.310316038457721</v>
      </c>
      <c r="O14">
        <f t="shared" si="0"/>
        <v>1989</v>
      </c>
      <c r="P14" s="2">
        <f t="shared" si="3"/>
        <v>2774.0322500808475</v>
      </c>
      <c r="Q14" s="9"/>
      <c r="R14" s="9"/>
      <c r="S14" s="74">
        <f t="shared" si="7"/>
        <v>334.72664844278501</v>
      </c>
      <c r="T14" s="1">
        <f t="shared" si="8"/>
        <v>-2439.3056016380624</v>
      </c>
      <c r="V14" s="9"/>
      <c r="W14" s="9"/>
      <c r="X14" s="9"/>
      <c r="Y14" s="9"/>
    </row>
    <row r="15" spans="1:25" x14ac:dyDescent="0.3">
      <c r="A15">
        <v>1990</v>
      </c>
      <c r="B15" s="2">
        <f t="shared" si="9"/>
        <v>0</v>
      </c>
      <c r="C15" s="1">
        <v>0</v>
      </c>
      <c r="D15" s="1">
        <v>0</v>
      </c>
      <c r="E15" s="1">
        <v>0</v>
      </c>
      <c r="F15" s="1">
        <v>0</v>
      </c>
      <c r="G15" s="9">
        <v>4.4886769999999999E-2</v>
      </c>
      <c r="H15" s="9">
        <v>0.151058</v>
      </c>
      <c r="I15" s="9">
        <v>0.2635864</v>
      </c>
      <c r="J15" s="9">
        <v>0.42860340000000002</v>
      </c>
      <c r="K15" s="1">
        <f t="shared" si="6"/>
        <v>0</v>
      </c>
      <c r="L15" s="1">
        <f t="shared" si="2"/>
        <v>0</v>
      </c>
      <c r="M15" s="1">
        <f t="shared" si="2"/>
        <v>0</v>
      </c>
      <c r="N15" s="1">
        <f t="shared" si="2"/>
        <v>0</v>
      </c>
      <c r="O15">
        <f t="shared" si="0"/>
        <v>1990</v>
      </c>
      <c r="P15" s="2">
        <f t="shared" si="3"/>
        <v>1653.831893286273</v>
      </c>
      <c r="Q15" s="9"/>
      <c r="R15" s="9"/>
      <c r="S15" s="74">
        <f t="shared" si="7"/>
        <v>0</v>
      </c>
      <c r="T15" s="1">
        <f t="shared" si="8"/>
        <v>-1653.831893286273</v>
      </c>
      <c r="V15" s="9"/>
      <c r="W15" s="9"/>
      <c r="X15" s="9"/>
      <c r="Y15" s="9"/>
    </row>
    <row r="16" spans="1:25" x14ac:dyDescent="0.3">
      <c r="A16">
        <v>1991</v>
      </c>
      <c r="B16" s="2">
        <f t="shared" si="9"/>
        <v>10</v>
      </c>
      <c r="C16" s="1">
        <v>0.44078776425381816</v>
      </c>
      <c r="D16" s="1">
        <v>3.189372330138708</v>
      </c>
      <c r="E16" s="1">
        <v>2.3440715112813084</v>
      </c>
      <c r="F16" s="1">
        <v>4.0257683943261666</v>
      </c>
      <c r="G16" s="9">
        <v>4.530091E-2</v>
      </c>
      <c r="H16" s="9">
        <v>0.12982540000000001</v>
      </c>
      <c r="I16" s="9">
        <v>0.30885940000000001</v>
      </c>
      <c r="J16" s="9">
        <v>0.4331351</v>
      </c>
      <c r="K16" s="1">
        <f t="shared" si="6"/>
        <v>2.0915581722784963E-2</v>
      </c>
      <c r="L16" s="1">
        <f t="shared" si="2"/>
        <v>0.4758373072590143</v>
      </c>
      <c r="M16" s="1">
        <f t="shared" si="2"/>
        <v>1.0475271175379339</v>
      </c>
      <c r="N16" s="1">
        <f t="shared" si="2"/>
        <v>3.0760443909180184</v>
      </c>
      <c r="O16">
        <f t="shared" si="0"/>
        <v>1991</v>
      </c>
      <c r="P16" s="2">
        <f t="shared" si="3"/>
        <v>841.92800268003896</v>
      </c>
      <c r="Q16" s="9"/>
      <c r="R16" s="9"/>
      <c r="S16" s="74">
        <f t="shared" si="7"/>
        <v>22.375490354658471</v>
      </c>
      <c r="T16" s="1">
        <f t="shared" si="8"/>
        <v>-819.55251232538046</v>
      </c>
      <c r="V16" s="9"/>
      <c r="W16" s="9"/>
      <c r="X16" s="9"/>
      <c r="Y16" s="9"/>
    </row>
    <row r="17" spans="1:31" x14ac:dyDescent="0.3">
      <c r="A17">
        <v>1992</v>
      </c>
      <c r="B17" s="2">
        <f t="shared" si="9"/>
        <v>150</v>
      </c>
      <c r="C17" s="1">
        <v>1.2288698406113883</v>
      </c>
      <c r="D17" s="1">
        <v>53.582211178434441</v>
      </c>
      <c r="E17" s="1">
        <v>68.282058580429805</v>
      </c>
      <c r="F17" s="1">
        <v>26.906860400524366</v>
      </c>
      <c r="G17" s="9">
        <v>6.3808900000000002E-2</v>
      </c>
      <c r="H17" s="9">
        <v>0.27280599999999999</v>
      </c>
      <c r="I17" s="9">
        <v>0.35595490000000002</v>
      </c>
      <c r="J17" s="9">
        <v>0.5332846</v>
      </c>
      <c r="K17" s="1">
        <f t="shared" si="6"/>
        <v>8.3757293540376532E-2</v>
      </c>
      <c r="L17" s="1">
        <f t="shared" si="2"/>
        <v>20.101305432586056</v>
      </c>
      <c r="M17" s="1">
        <f t="shared" si="2"/>
        <v>37.738557957806108</v>
      </c>
      <c r="N17" s="1">
        <f t="shared" si="2"/>
        <v>30.744677132893997</v>
      </c>
      <c r="O17">
        <f t="shared" si="0"/>
        <v>1992</v>
      </c>
      <c r="P17" s="2">
        <f t="shared" si="3"/>
        <v>386.45446119890715</v>
      </c>
      <c r="Q17" s="9">
        <f t="shared" ref="Q17:Q39" si="10">P17/B17</f>
        <v>2.5763630746593811</v>
      </c>
      <c r="R17" s="9">
        <f t="shared" ref="R17:R39" si="11">LN(Q17)</f>
        <v>0.94637874344202266</v>
      </c>
      <c r="S17" s="74">
        <f t="shared" si="7"/>
        <v>292.63476506466753</v>
      </c>
      <c r="T17" s="1">
        <f t="shared" si="8"/>
        <v>-93.819696134239621</v>
      </c>
      <c r="V17" s="9"/>
      <c r="W17" s="9"/>
      <c r="X17" s="9"/>
      <c r="Y17" s="9"/>
    </row>
    <row r="18" spans="1:31" x14ac:dyDescent="0.3">
      <c r="A18">
        <v>1993</v>
      </c>
      <c r="B18" s="2">
        <f t="shared" si="9"/>
        <v>1063</v>
      </c>
      <c r="C18" s="1">
        <v>3.0382091648816862</v>
      </c>
      <c r="D18" s="1">
        <v>64.053263052542817</v>
      </c>
      <c r="E18" s="1">
        <v>441.5369498870657</v>
      </c>
      <c r="F18" s="1">
        <v>554.37157789550986</v>
      </c>
      <c r="G18" s="9">
        <v>4.2496369999999999E-2</v>
      </c>
      <c r="H18" s="9">
        <v>0.11691360000000001</v>
      </c>
      <c r="I18" s="9">
        <v>0.35909419999999997</v>
      </c>
      <c r="J18" s="9">
        <v>0.47995209999999999</v>
      </c>
      <c r="K18" s="1">
        <f t="shared" si="6"/>
        <v>0.13484320765259464</v>
      </c>
      <c r="L18" s="1">
        <f t="shared" si="2"/>
        <v>8.4801414394104242</v>
      </c>
      <c r="M18" s="1">
        <f t="shared" si="2"/>
        <v>247.38948811219359</v>
      </c>
      <c r="N18" s="1">
        <f t="shared" si="2"/>
        <v>511.62941527359988</v>
      </c>
      <c r="O18">
        <f t="shared" si="0"/>
        <v>1993</v>
      </c>
      <c r="P18" s="2">
        <f t="shared" si="3"/>
        <v>1419.1476321765358</v>
      </c>
      <c r="Q18" s="9">
        <f t="shared" si="10"/>
        <v>1.3350401055282557</v>
      </c>
      <c r="R18" s="9">
        <f t="shared" si="11"/>
        <v>0.28896133299517224</v>
      </c>
      <c r="S18" s="74">
        <f t="shared" si="7"/>
        <v>848.19508705778162</v>
      </c>
      <c r="T18" s="1">
        <f t="shared" si="8"/>
        <v>-570.95254511875419</v>
      </c>
      <c r="V18" s="9"/>
      <c r="W18" s="9"/>
      <c r="X18" s="9"/>
      <c r="Y18" s="9"/>
    </row>
    <row r="19" spans="1:31" x14ac:dyDescent="0.3">
      <c r="A19">
        <v>1994</v>
      </c>
      <c r="B19" s="2">
        <f t="shared" si="9"/>
        <v>1952</v>
      </c>
      <c r="C19" s="1">
        <v>30.597612065819362</v>
      </c>
      <c r="D19" s="1">
        <v>119.33272534351048</v>
      </c>
      <c r="E19" s="1">
        <v>690.47640567555879</v>
      </c>
      <c r="F19" s="1">
        <v>1111.5932569151114</v>
      </c>
      <c r="G19" s="9">
        <v>1.1828679999999999E-2</v>
      </c>
      <c r="H19" s="9">
        <v>0.29007139999999998</v>
      </c>
      <c r="I19" s="9">
        <v>0.2837211</v>
      </c>
      <c r="J19" s="9">
        <v>0.44723269999999998</v>
      </c>
      <c r="K19" s="1">
        <f t="shared" si="6"/>
        <v>0.36626175498669217</v>
      </c>
      <c r="L19" s="1">
        <f t="shared" si="2"/>
        <v>48.758439519421479</v>
      </c>
      <c r="M19" s="1">
        <f t="shared" si="2"/>
        <v>273.50062293097812</v>
      </c>
      <c r="N19" s="1">
        <f t="shared" si="2"/>
        <v>899.36733520947962</v>
      </c>
      <c r="O19">
        <f t="shared" si="0"/>
        <v>1994</v>
      </c>
      <c r="P19" s="2">
        <f t="shared" si="3"/>
        <v>1760.1168390637472</v>
      </c>
      <c r="Q19" s="9">
        <f t="shared" si="10"/>
        <v>0.90169920034003437</v>
      </c>
      <c r="R19" s="9">
        <f t="shared" si="11"/>
        <v>-0.10347429531260766</v>
      </c>
      <c r="S19" s="74">
        <f t="shared" si="7"/>
        <v>652.19374127162052</v>
      </c>
      <c r="T19" s="1">
        <f t="shared" si="8"/>
        <v>-1107.9230977921266</v>
      </c>
      <c r="V19" s="9"/>
      <c r="W19" s="9"/>
      <c r="X19" s="9"/>
      <c r="Y19" s="9"/>
    </row>
    <row r="20" spans="1:31" x14ac:dyDescent="0.3">
      <c r="A20">
        <v>1995</v>
      </c>
      <c r="B20" s="2">
        <f t="shared" si="9"/>
        <v>703</v>
      </c>
      <c r="C20" s="1">
        <v>71.618219551564636</v>
      </c>
      <c r="D20" s="1">
        <v>45.522506865734584</v>
      </c>
      <c r="E20" s="1">
        <v>137.95358378814169</v>
      </c>
      <c r="F20" s="1">
        <v>447.90568979455912</v>
      </c>
      <c r="G20" s="9">
        <v>3.7290509999999999E-2</v>
      </c>
      <c r="H20" s="9">
        <v>4.2427980000000001E-4</v>
      </c>
      <c r="I20" s="9">
        <v>0.29553210000000002</v>
      </c>
      <c r="J20" s="9">
        <v>0.27289079999999999</v>
      </c>
      <c r="K20" s="1">
        <f t="shared" si="6"/>
        <v>2.7741286027728016</v>
      </c>
      <c r="L20" s="1">
        <f t="shared" si="2"/>
        <v>1.9322478245698087E-2</v>
      </c>
      <c r="M20" s="1">
        <f t="shared" si="2"/>
        <v>57.873058970373904</v>
      </c>
      <c r="N20" s="1">
        <f t="shared" si="2"/>
        <v>168.10314325907177</v>
      </c>
      <c r="O20">
        <f t="shared" si="0"/>
        <v>1995</v>
      </c>
      <c r="P20" s="2">
        <f t="shared" si="3"/>
        <v>387.83359731125483</v>
      </c>
      <c r="Q20" s="9">
        <f t="shared" si="10"/>
        <v>0.55168363771160001</v>
      </c>
      <c r="R20" s="9">
        <f t="shared" si="11"/>
        <v>-0.59478051708881763</v>
      </c>
      <c r="S20" s="74">
        <f t="shared" si="7"/>
        <v>798.02275320205092</v>
      </c>
      <c r="T20" s="1">
        <f t="shared" si="8"/>
        <v>410.18915589079609</v>
      </c>
      <c r="V20" s="9"/>
      <c r="W20" s="9"/>
      <c r="X20" s="9"/>
      <c r="Y20" s="9"/>
    </row>
    <row r="21" spans="1:31" x14ac:dyDescent="0.3">
      <c r="A21">
        <v>1996</v>
      </c>
      <c r="B21" s="2">
        <f t="shared" si="9"/>
        <v>935.00000000000023</v>
      </c>
      <c r="C21" s="1">
        <v>93.635558984141468</v>
      </c>
      <c r="D21" s="1">
        <v>295.07901243699189</v>
      </c>
      <c r="E21" s="1">
        <v>225.63322429897042</v>
      </c>
      <c r="F21" s="1">
        <v>320.65220427989635</v>
      </c>
      <c r="G21" s="9">
        <v>2.6912930000000002E-2</v>
      </c>
      <c r="H21" s="9">
        <v>7.7131039999999998E-2</v>
      </c>
      <c r="I21" s="9">
        <v>3.100158E-3</v>
      </c>
      <c r="J21" s="9">
        <v>0.32471119999999998</v>
      </c>
      <c r="K21" s="1">
        <f t="shared" si="6"/>
        <v>2.5897037604775393</v>
      </c>
      <c r="L21" s="1">
        <f t="shared" si="2"/>
        <v>24.661953211036721</v>
      </c>
      <c r="M21" s="1">
        <f t="shared" si="2"/>
        <v>0.70167394547169315</v>
      </c>
      <c r="N21" s="1">
        <f t="shared" si="2"/>
        <v>154.18493840616085</v>
      </c>
      <c r="O21">
        <f t="shared" si="0"/>
        <v>1996</v>
      </c>
      <c r="P21" s="2">
        <f t="shared" si="3"/>
        <v>394.88845995362385</v>
      </c>
      <c r="Q21" s="9">
        <f t="shared" si="10"/>
        <v>0.42234059888088105</v>
      </c>
      <c r="R21" s="9">
        <f t="shared" si="11"/>
        <v>-0.86194318412850968</v>
      </c>
      <c r="S21" s="74">
        <f t="shared" si="7"/>
        <v>845.68524189007837</v>
      </c>
      <c r="T21" s="1">
        <f t="shared" si="8"/>
        <v>450.79678193645452</v>
      </c>
      <c r="V21" s="9"/>
      <c r="W21" s="9"/>
      <c r="X21" s="9"/>
      <c r="Y21" s="9"/>
    </row>
    <row r="22" spans="1:31" x14ac:dyDescent="0.3">
      <c r="A22">
        <v>1997</v>
      </c>
      <c r="B22" s="2">
        <f t="shared" si="9"/>
        <v>625.00000000000011</v>
      </c>
      <c r="C22" s="1">
        <v>5.0160621082975236</v>
      </c>
      <c r="D22" s="1">
        <v>184.3507579692133</v>
      </c>
      <c r="E22" s="1">
        <v>381.14020750254087</v>
      </c>
      <c r="F22" s="1">
        <v>54.492972419948366</v>
      </c>
      <c r="G22" s="9">
        <v>2.961387E-2</v>
      </c>
      <c r="H22" s="9">
        <v>6.8755739999999996E-2</v>
      </c>
      <c r="I22" s="9">
        <v>0.36194460000000001</v>
      </c>
      <c r="J22" s="9">
        <v>0.34827823333333335</v>
      </c>
      <c r="K22" s="1">
        <f t="shared" si="6"/>
        <v>0.15307825060014904</v>
      </c>
      <c r="L22" s="1">
        <f t="shared" si="2"/>
        <v>13.611007689576692</v>
      </c>
      <c r="M22" s="1">
        <f t="shared" si="2"/>
        <v>216.20636695249993</v>
      </c>
      <c r="N22" s="1">
        <f t="shared" si="2"/>
        <v>29.120887369730344</v>
      </c>
      <c r="O22">
        <f t="shared" si="0"/>
        <v>1997</v>
      </c>
      <c r="P22" s="2">
        <f t="shared" si="3"/>
        <v>234.32196741798057</v>
      </c>
      <c r="Q22" s="9">
        <f t="shared" si="10"/>
        <v>0.37491514786876884</v>
      </c>
      <c r="R22" s="9">
        <f t="shared" si="11"/>
        <v>-0.98105555096512653</v>
      </c>
      <c r="S22" s="74">
        <f t="shared" si="7"/>
        <v>765.79245477002985</v>
      </c>
      <c r="T22" s="1">
        <f t="shared" si="8"/>
        <v>531.4704873520493</v>
      </c>
      <c r="V22" s="9"/>
      <c r="W22" s="9"/>
      <c r="X22" s="9"/>
      <c r="Y22" s="9"/>
    </row>
    <row r="23" spans="1:31" x14ac:dyDescent="0.3">
      <c r="A23">
        <v>1998</v>
      </c>
      <c r="B23" s="2">
        <f t="shared" si="9"/>
        <v>831</v>
      </c>
      <c r="C23" s="1">
        <v>2.4307685512188546</v>
      </c>
      <c r="D23" s="1">
        <v>36.445976683936095</v>
      </c>
      <c r="E23" s="1">
        <v>513.98350739185037</v>
      </c>
      <c r="F23" s="1">
        <v>278.13974737299463</v>
      </c>
      <c r="G23" s="9">
        <v>1.911237E-2</v>
      </c>
      <c r="H23" s="9">
        <v>9.7367350000000005E-2</v>
      </c>
      <c r="I23" s="9">
        <v>0.2798947</v>
      </c>
      <c r="J23" s="9">
        <v>0.3496359</v>
      </c>
      <c r="K23" s="1">
        <f t="shared" si="6"/>
        <v>4.7362966474823111E-2</v>
      </c>
      <c r="L23" s="1">
        <f t="shared" si="2"/>
        <v>3.9314422848283246</v>
      </c>
      <c r="M23" s="1">
        <f t="shared" si="2"/>
        <v>199.77808746358312</v>
      </c>
      <c r="N23" s="1">
        <f t="shared" si="2"/>
        <v>149.52799654613409</v>
      </c>
      <c r="O23">
        <f t="shared" si="0"/>
        <v>1998</v>
      </c>
      <c r="P23" s="2">
        <f t="shared" si="3"/>
        <v>633.01946556762437</v>
      </c>
      <c r="Q23" s="9">
        <f t="shared" si="10"/>
        <v>0.76175627625466225</v>
      </c>
      <c r="R23" s="9">
        <f t="shared" si="11"/>
        <v>-0.27212862189241765</v>
      </c>
      <c r="S23" s="74">
        <f t="shared" si="7"/>
        <v>832.19733382111428</v>
      </c>
      <c r="T23" s="1">
        <f t="shared" si="8"/>
        <v>199.17786825348992</v>
      </c>
      <c r="V23" s="9"/>
      <c r="W23" s="9"/>
      <c r="X23" s="9"/>
      <c r="Y23" s="9"/>
    </row>
    <row r="24" spans="1:31" x14ac:dyDescent="0.3">
      <c r="A24">
        <v>1999</v>
      </c>
      <c r="B24" s="2">
        <f t="shared" si="9"/>
        <v>633</v>
      </c>
      <c r="C24" s="1">
        <v>1.0074806338526439</v>
      </c>
      <c r="D24" s="1">
        <v>32.43883727360106</v>
      </c>
      <c r="E24" s="1">
        <v>133.56034998299981</v>
      </c>
      <c r="F24" s="1">
        <v>465.99333210954654</v>
      </c>
      <c r="G24" s="9">
        <v>2.8004210000000002E-2</v>
      </c>
      <c r="H24" s="9">
        <v>5.5808709999999997E-2</v>
      </c>
      <c r="I24" s="9">
        <v>0.25176880000000001</v>
      </c>
      <c r="J24" s="9">
        <v>0.38046659999999999</v>
      </c>
      <c r="K24" s="1">
        <f t="shared" si="6"/>
        <v>2.9026565270763721E-2</v>
      </c>
      <c r="L24" s="1">
        <f t="shared" si="2"/>
        <v>1.9173759399322483</v>
      </c>
      <c r="M24" s="1">
        <f t="shared" si="2"/>
        <v>44.941094467592215</v>
      </c>
      <c r="N24" s="1">
        <f t="shared" si="2"/>
        <v>286.17488369535846</v>
      </c>
      <c r="O24">
        <f t="shared" si="0"/>
        <v>1999</v>
      </c>
      <c r="P24" s="2">
        <f t="shared" si="3"/>
        <v>733.72327396689252</v>
      </c>
      <c r="Q24" s="9">
        <f t="shared" si="10"/>
        <v>1.1591204959982504</v>
      </c>
      <c r="R24" s="9">
        <f t="shared" si="11"/>
        <v>0.14766152443955771</v>
      </c>
      <c r="S24" s="74">
        <f t="shared" si="7"/>
        <v>769.54249998530281</v>
      </c>
      <c r="T24" s="1">
        <f t="shared" si="8"/>
        <v>35.819226018410291</v>
      </c>
      <c r="V24" s="9"/>
      <c r="W24" s="9"/>
      <c r="X24" s="9"/>
      <c r="Y24" s="9"/>
    </row>
    <row r="25" spans="1:31" x14ac:dyDescent="0.3">
      <c r="A25">
        <v>2000</v>
      </c>
      <c r="B25" s="2">
        <f t="shared" si="9"/>
        <v>397.00000000000006</v>
      </c>
      <c r="C25" s="1">
        <v>32.476932676051248</v>
      </c>
      <c r="D25" s="1">
        <v>65.418142655852648</v>
      </c>
      <c r="E25" s="1">
        <v>160.04487931305852</v>
      </c>
      <c r="F25" s="1">
        <v>139.06004535503763</v>
      </c>
      <c r="G25" s="9">
        <v>1.994021E-2</v>
      </c>
      <c r="H25" s="9">
        <v>6.3243380000000002E-2</v>
      </c>
      <c r="I25" s="9">
        <v>0.1523195</v>
      </c>
      <c r="J25" s="9">
        <v>0.15096290000000001</v>
      </c>
      <c r="K25" s="1">
        <f t="shared" si="6"/>
        <v>0.66077280623493795</v>
      </c>
      <c r="L25" s="1">
        <f t="shared" si="6"/>
        <v>4.4165841655629814</v>
      </c>
      <c r="M25" s="1">
        <f t="shared" si="6"/>
        <v>28.758424895376752</v>
      </c>
      <c r="N25" s="1">
        <f t="shared" si="6"/>
        <v>24.725548177963027</v>
      </c>
      <c r="O25">
        <f t="shared" si="0"/>
        <v>2000</v>
      </c>
      <c r="P25" s="2">
        <f t="shared" si="3"/>
        <v>392.6595746808091</v>
      </c>
      <c r="Q25" s="9">
        <f t="shared" si="10"/>
        <v>0.98906693874259211</v>
      </c>
      <c r="R25" s="9">
        <f t="shared" si="11"/>
        <v>-1.0993266391398438E-2</v>
      </c>
      <c r="S25" s="74">
        <f t="shared" si="7"/>
        <v>608.11161383675005</v>
      </c>
      <c r="T25" s="1">
        <f t="shared" si="8"/>
        <v>215.45203915594095</v>
      </c>
      <c r="V25" s="9"/>
      <c r="W25" s="9"/>
      <c r="X25" s="9"/>
      <c r="Y25" s="9"/>
    </row>
    <row r="26" spans="1:31" x14ac:dyDescent="0.3">
      <c r="A26">
        <v>2001</v>
      </c>
      <c r="B26" s="2">
        <f t="shared" si="9"/>
        <v>547.64376273086441</v>
      </c>
      <c r="C26" s="1">
        <v>47.115039132221739</v>
      </c>
      <c r="D26" s="1">
        <v>238.78305008491617</v>
      </c>
      <c r="E26" s="1">
        <v>138.89217970086074</v>
      </c>
      <c r="F26" s="1">
        <v>122.85349381286574</v>
      </c>
      <c r="G26" s="9">
        <v>2.230451E-2</v>
      </c>
      <c r="H26" s="9">
        <v>4.8453839999999998E-2</v>
      </c>
      <c r="I26" s="9">
        <v>2.466453E-2</v>
      </c>
      <c r="J26" s="9">
        <v>0.27413349999999997</v>
      </c>
      <c r="K26" s="1">
        <f t="shared" si="6"/>
        <v>1.0748519065737239</v>
      </c>
      <c r="L26" s="1">
        <f t="shared" si="6"/>
        <v>12.159111338882933</v>
      </c>
      <c r="M26" s="1">
        <f t="shared" si="6"/>
        <v>3.5123405621629558</v>
      </c>
      <c r="N26" s="1">
        <f t="shared" si="6"/>
        <v>46.397317201095831</v>
      </c>
      <c r="O26">
        <f t="shared" si="0"/>
        <v>2001</v>
      </c>
      <c r="P26" s="2">
        <f t="shared" si="3"/>
        <v>372.3431392789193</v>
      </c>
      <c r="Q26" s="9">
        <f t="shared" si="10"/>
        <v>0.67990026476738064</v>
      </c>
      <c r="R26" s="9">
        <f t="shared" si="11"/>
        <v>-0.38580916102873608</v>
      </c>
      <c r="S26" s="74">
        <f t="shared" si="7"/>
        <v>723.81329255608205</v>
      </c>
      <c r="T26" s="1">
        <f t="shared" si="8"/>
        <v>351.47015327716275</v>
      </c>
      <c r="V26" s="9"/>
      <c r="W26" s="9"/>
      <c r="X26" s="9"/>
      <c r="Y26" s="9"/>
    </row>
    <row r="27" spans="1:31" x14ac:dyDescent="0.3">
      <c r="A27">
        <v>2002</v>
      </c>
      <c r="B27" s="2">
        <f t="shared" si="9"/>
        <v>205</v>
      </c>
      <c r="C27" s="1">
        <v>3.761098179194339</v>
      </c>
      <c r="D27" s="1">
        <v>28.542261622106718</v>
      </c>
      <c r="E27" s="1">
        <v>157.30177726134815</v>
      </c>
      <c r="F27" s="1">
        <v>15.394862937350808</v>
      </c>
      <c r="G27" s="9">
        <v>2.4890539999999999E-2</v>
      </c>
      <c r="H27" s="9">
        <v>4.2395670000000003E-2</v>
      </c>
      <c r="I27" s="9">
        <v>0.24123430000000001</v>
      </c>
      <c r="J27" s="9">
        <v>0.26852100000000001</v>
      </c>
      <c r="K27" s="1">
        <f t="shared" si="6"/>
        <v>9.6005390690357836E-2</v>
      </c>
      <c r="L27" s="1">
        <f t="shared" si="6"/>
        <v>1.2636412209879013</v>
      </c>
      <c r="M27" s="1">
        <f t="shared" si="6"/>
        <v>50.010937666788628</v>
      </c>
      <c r="N27" s="1">
        <f t="shared" si="6"/>
        <v>5.6513501970670061</v>
      </c>
      <c r="O27">
        <f t="shared" si="0"/>
        <v>2002</v>
      </c>
      <c r="P27" s="2">
        <f t="shared" si="3"/>
        <v>325.74909067426216</v>
      </c>
      <c r="Q27" s="9">
        <f t="shared" si="10"/>
        <v>1.5890199545085959</v>
      </c>
      <c r="R27" s="9">
        <f t="shared" si="11"/>
        <v>0.46311744537918781</v>
      </c>
      <c r="S27" s="74">
        <f t="shared" si="7"/>
        <v>378.96458942076998</v>
      </c>
      <c r="T27" s="1">
        <f t="shared" si="8"/>
        <v>53.215498746507819</v>
      </c>
      <c r="V27" s="9"/>
      <c r="W27" s="9"/>
      <c r="X27" s="9"/>
      <c r="Y27" s="9"/>
    </row>
    <row r="28" spans="1:31" x14ac:dyDescent="0.3">
      <c r="A28">
        <v>2003</v>
      </c>
      <c r="B28" s="2">
        <f t="shared" si="9"/>
        <v>319.99999999999994</v>
      </c>
      <c r="C28" s="1">
        <v>5.9842874746440717</v>
      </c>
      <c r="D28" s="1">
        <v>29.467151119755677</v>
      </c>
      <c r="E28" s="1">
        <v>186.60123560237938</v>
      </c>
      <c r="F28" s="1">
        <v>97.947325803220835</v>
      </c>
      <c r="G28" s="9">
        <v>2.7425809999999998E-2</v>
      </c>
      <c r="H28" s="9">
        <v>5.8330420000000001E-2</v>
      </c>
      <c r="I28" s="9">
        <v>0.17068169999999999</v>
      </c>
      <c r="J28" s="9">
        <v>0.30841289999999999</v>
      </c>
      <c r="K28" s="1">
        <f t="shared" si="6"/>
        <v>0.16875209413583978</v>
      </c>
      <c r="L28" s="1">
        <f t="shared" si="6"/>
        <v>1.8253019291743702</v>
      </c>
      <c r="M28" s="1">
        <f t="shared" si="6"/>
        <v>38.404332949983903</v>
      </c>
      <c r="N28" s="1">
        <f t="shared" si="6"/>
        <v>43.67955793018141</v>
      </c>
      <c r="O28">
        <f t="shared" si="0"/>
        <v>2003</v>
      </c>
      <c r="P28" s="2">
        <f t="shared" si="3"/>
        <v>456.00341502049162</v>
      </c>
      <c r="Q28" s="9">
        <f t="shared" si="10"/>
        <v>1.4250106719390365</v>
      </c>
      <c r="R28" s="9">
        <f t="shared" si="11"/>
        <v>0.35417930277259646</v>
      </c>
      <c r="S28" s="74">
        <f t="shared" si="7"/>
        <v>528.55308878461472</v>
      </c>
      <c r="T28" s="1">
        <f t="shared" si="8"/>
        <v>72.549673764123099</v>
      </c>
      <c r="V28" s="9"/>
      <c r="W28" s="9"/>
      <c r="X28" s="9"/>
      <c r="Y28" s="9"/>
    </row>
    <row r="29" spans="1:31" x14ac:dyDescent="0.3">
      <c r="A29">
        <v>2004</v>
      </c>
      <c r="B29" s="2">
        <f t="shared" si="9"/>
        <v>575</v>
      </c>
      <c r="C29" s="1">
        <v>4.5322838484273964</v>
      </c>
      <c r="D29" s="1">
        <v>96.781958196733626</v>
      </c>
      <c r="E29" s="1">
        <v>199.43060155358901</v>
      </c>
      <c r="F29" s="1">
        <v>274.25515640124996</v>
      </c>
      <c r="G29" s="9">
        <v>2.5422279999999998E-2</v>
      </c>
      <c r="H29" s="9">
        <v>8.3009349999999996E-2</v>
      </c>
      <c r="I29" s="9">
        <v>0.25205300000000003</v>
      </c>
      <c r="J29" s="9">
        <v>0.36326629999999999</v>
      </c>
      <c r="K29" s="1">
        <f t="shared" si="6"/>
        <v>0.11822657820886652</v>
      </c>
      <c r="L29" s="1">
        <f t="shared" si="6"/>
        <v>8.7610570965342234</v>
      </c>
      <c r="M29" s="1">
        <f t="shared" si="6"/>
        <v>67.206742474248557</v>
      </c>
      <c r="N29" s="1">
        <f t="shared" si="6"/>
        <v>156.46675513138914</v>
      </c>
      <c r="O29">
        <f t="shared" si="0"/>
        <v>2004</v>
      </c>
      <c r="P29" s="2">
        <f t="shared" si="3"/>
        <v>114.05504903371167</v>
      </c>
      <c r="Q29" s="9">
        <f t="shared" si="10"/>
        <v>0.19835660701515073</v>
      </c>
      <c r="R29" s="9">
        <f t="shared" si="11"/>
        <v>-1.6176888226942772</v>
      </c>
      <c r="S29" s="74">
        <f t="shared" si="7"/>
        <v>739.88197402386197</v>
      </c>
      <c r="T29" s="1">
        <f t="shared" si="8"/>
        <v>625.82692499015025</v>
      </c>
      <c r="V29" s="9"/>
      <c r="W29" s="9"/>
      <c r="X29" s="9"/>
      <c r="Y29" s="9"/>
    </row>
    <row r="30" spans="1:31" x14ac:dyDescent="0.3">
      <c r="A30">
        <v>2005</v>
      </c>
      <c r="B30" s="2">
        <f t="shared" si="9"/>
        <v>216</v>
      </c>
      <c r="C30" s="1">
        <v>8.9664035022905271</v>
      </c>
      <c r="D30" s="1">
        <v>48.712800593295775</v>
      </c>
      <c r="E30" s="1">
        <v>102.98973325152173</v>
      </c>
      <c r="F30" s="1">
        <v>55.331062652891958</v>
      </c>
      <c r="G30" s="9">
        <v>2.8622169999999999E-2</v>
      </c>
      <c r="H30" s="9">
        <v>5.7888120000000001E-2</v>
      </c>
      <c r="I30" s="9">
        <v>0.30281750000000002</v>
      </c>
      <c r="J30" s="9">
        <v>0.39111439999999997</v>
      </c>
      <c r="K30" s="1">
        <f t="shared" si="6"/>
        <v>0.26419989977654201</v>
      </c>
      <c r="L30" s="1">
        <f t="shared" si="6"/>
        <v>2.993160903862901</v>
      </c>
      <c r="M30" s="1">
        <f t="shared" si="6"/>
        <v>44.733041275265343</v>
      </c>
      <c r="N30" s="1">
        <f t="shared" si="6"/>
        <v>35.541611381264801</v>
      </c>
      <c r="O30">
        <f t="shared" si="0"/>
        <v>2005</v>
      </c>
      <c r="P30" s="2">
        <f t="shared" si="3"/>
        <v>250.65012201620212</v>
      </c>
      <c r="Q30" s="9">
        <f t="shared" si="10"/>
        <v>1.1604172315564913</v>
      </c>
      <c r="R30" s="9">
        <f t="shared" si="11"/>
        <v>0.14877962282435969</v>
      </c>
      <c r="S30" s="74">
        <f t="shared" si="7"/>
        <v>395.02132678457838</v>
      </c>
      <c r="T30" s="1">
        <f t="shared" si="8"/>
        <v>144.37120476837626</v>
      </c>
      <c r="V30" s="9"/>
      <c r="W30" s="9"/>
      <c r="X30" s="9"/>
      <c r="Y30" s="9"/>
    </row>
    <row r="31" spans="1:31" x14ac:dyDescent="0.3">
      <c r="A31">
        <v>2006</v>
      </c>
      <c r="B31" s="2">
        <f t="shared" si="9"/>
        <v>305.99999999999994</v>
      </c>
      <c r="C31" s="1">
        <v>1.4787550762778725</v>
      </c>
      <c r="D31" s="1">
        <v>77.095828591085564</v>
      </c>
      <c r="E31" s="1">
        <v>156.39410569850523</v>
      </c>
      <c r="F31" s="1">
        <v>71.031310634131287</v>
      </c>
      <c r="G31" s="9">
        <v>2.100306E-2</v>
      </c>
      <c r="H31" s="9">
        <v>8.6884050000000004E-2</v>
      </c>
      <c r="I31" s="9">
        <v>0.24650639999999999</v>
      </c>
      <c r="J31" s="9">
        <v>0.37098300000000001</v>
      </c>
      <c r="K31" s="1">
        <f t="shared" si="6"/>
        <v>3.1724697313526569E-2</v>
      </c>
      <c r="L31" s="1">
        <f t="shared" si="6"/>
        <v>7.3357582091291995</v>
      </c>
      <c r="M31" s="1">
        <f t="shared" si="6"/>
        <v>51.164532753772569</v>
      </c>
      <c r="N31" s="1">
        <f t="shared" si="6"/>
        <v>41.892999255953228</v>
      </c>
      <c r="O31">
        <f t="shared" si="0"/>
        <v>2006</v>
      </c>
      <c r="P31" s="2">
        <f t="shared" si="3"/>
        <v>208.96264186240177</v>
      </c>
      <c r="Q31" s="9">
        <f t="shared" si="10"/>
        <v>0.68288445053072488</v>
      </c>
      <c r="R31" s="9">
        <f t="shared" si="11"/>
        <v>-0.38142961303457895</v>
      </c>
      <c r="S31" s="74">
        <f t="shared" si="7"/>
        <v>512.40558348188665</v>
      </c>
      <c r="T31" s="1">
        <f t="shared" si="8"/>
        <v>303.44294161948488</v>
      </c>
      <c r="V31" s="9"/>
      <c r="W31" s="9"/>
      <c r="X31" s="9"/>
      <c r="Y31" s="9"/>
      <c r="AD31">
        <v>1000</v>
      </c>
      <c r="AE31">
        <f>AD31</f>
        <v>1000</v>
      </c>
    </row>
    <row r="32" spans="1:31" x14ac:dyDescent="0.3">
      <c r="A32">
        <v>2007</v>
      </c>
      <c r="B32" s="2">
        <f t="shared" si="9"/>
        <v>166</v>
      </c>
      <c r="C32" s="1">
        <v>2.4706132336587783</v>
      </c>
      <c r="D32" s="1">
        <v>13.935380649181154</v>
      </c>
      <c r="E32" s="1">
        <v>114.89003712848896</v>
      </c>
      <c r="F32" s="1">
        <v>34.703968988671122</v>
      </c>
      <c r="G32" s="9">
        <v>4.0839130000000001E-2</v>
      </c>
      <c r="H32" s="9">
        <v>3.9543219999999997E-2</v>
      </c>
      <c r="I32" s="9">
        <v>0.30015269999999999</v>
      </c>
      <c r="J32" s="9">
        <v>0.43875570000000003</v>
      </c>
      <c r="K32" s="1">
        <f t="shared" si="6"/>
        <v>0.10519371482399112</v>
      </c>
      <c r="L32" s="1">
        <f t="shared" si="6"/>
        <v>0.5737372407265563</v>
      </c>
      <c r="M32" s="1">
        <f t="shared" si="6"/>
        <v>49.274398639840726</v>
      </c>
      <c r="N32" s="1">
        <f t="shared" si="6"/>
        <v>27.130011309518313</v>
      </c>
      <c r="O32">
        <f t="shared" si="0"/>
        <v>2007</v>
      </c>
      <c r="P32" s="2">
        <f t="shared" si="3"/>
        <v>577.27283801473914</v>
      </c>
      <c r="Q32" s="9">
        <f t="shared" si="10"/>
        <v>3.47754721695626</v>
      </c>
      <c r="R32" s="9">
        <f t="shared" si="11"/>
        <v>1.2463272225683613</v>
      </c>
      <c r="S32" s="74">
        <f t="shared" si="7"/>
        <v>318.81475780444754</v>
      </c>
      <c r="T32" s="1">
        <f t="shared" si="8"/>
        <v>-258.4580802102916</v>
      </c>
      <c r="V32" s="9"/>
      <c r="W32" s="9"/>
      <c r="X32" s="9"/>
      <c r="Y32" s="9"/>
      <c r="AD32">
        <f>AD31+1000</f>
        <v>2000</v>
      </c>
      <c r="AE32">
        <f>AD32</f>
        <v>2000</v>
      </c>
    </row>
    <row r="33" spans="1:31" x14ac:dyDescent="0.3">
      <c r="A33">
        <v>2008</v>
      </c>
      <c r="B33" s="2">
        <f t="shared" si="9"/>
        <v>246.99999999999997</v>
      </c>
      <c r="C33" s="1">
        <v>2.6514112696229368</v>
      </c>
      <c r="D33" s="1">
        <v>76.32671008078384</v>
      </c>
      <c r="E33" s="1">
        <v>33.737603472256929</v>
      </c>
      <c r="F33" s="1">
        <v>134.28427517733627</v>
      </c>
      <c r="G33" s="9">
        <v>3.7111119999999997E-2</v>
      </c>
      <c r="H33" s="9">
        <v>8.0986810000000006E-2</v>
      </c>
      <c r="I33" s="9">
        <v>0.23125370000000001</v>
      </c>
      <c r="J33" s="9">
        <v>0.32240160000000001</v>
      </c>
      <c r="K33" s="1">
        <f t="shared" si="6"/>
        <v>0.1021891973623469</v>
      </c>
      <c r="L33" s="1">
        <f t="shared" si="6"/>
        <v>6.7261893893356692</v>
      </c>
      <c r="M33" s="1">
        <f t="shared" si="6"/>
        <v>10.148921213789597</v>
      </c>
      <c r="N33" s="1">
        <f t="shared" si="6"/>
        <v>63.89251387254383</v>
      </c>
      <c r="O33">
        <f t="shared" si="0"/>
        <v>2008</v>
      </c>
      <c r="P33" s="2">
        <f t="shared" si="3"/>
        <v>678.91094689554757</v>
      </c>
      <c r="Q33" s="9">
        <f t="shared" si="10"/>
        <v>2.7486273153665897</v>
      </c>
      <c r="R33" s="9">
        <f t="shared" si="11"/>
        <v>1.0111016290091164</v>
      </c>
      <c r="S33" s="74">
        <f t="shared" si="7"/>
        <v>438.20805160135154</v>
      </c>
      <c r="T33" s="1">
        <f t="shared" si="8"/>
        <v>-240.70289529419603</v>
      </c>
      <c r="V33" s="9"/>
      <c r="W33" s="9"/>
      <c r="X33" s="9"/>
      <c r="Y33" s="9"/>
      <c r="AD33">
        <f t="shared" ref="AD33:AD70" si="12">AD32+1000</f>
        <v>3000</v>
      </c>
      <c r="AE33">
        <f t="shared" ref="AE33:AE70" si="13">AD33</f>
        <v>3000</v>
      </c>
    </row>
    <row r="34" spans="1:31" x14ac:dyDescent="0.3">
      <c r="A34">
        <v>2009</v>
      </c>
      <c r="B34" s="2">
        <f t="shared" si="9"/>
        <v>119</v>
      </c>
      <c r="C34" s="1">
        <v>11.517441837680408</v>
      </c>
      <c r="D34" s="1">
        <v>23.030177976591496</v>
      </c>
      <c r="E34" s="1">
        <v>48.686911227875726</v>
      </c>
      <c r="F34" s="1">
        <v>35.76546895785237</v>
      </c>
      <c r="G34" s="9">
        <v>2.980928E-2</v>
      </c>
      <c r="H34" s="9">
        <v>6.6412230000000003E-2</v>
      </c>
      <c r="I34" s="9">
        <v>0.3203587</v>
      </c>
      <c r="J34" s="9">
        <v>0.33949810000000002</v>
      </c>
      <c r="K34" s="1">
        <f t="shared" si="6"/>
        <v>0.35387542010619299</v>
      </c>
      <c r="L34" s="1">
        <f t="shared" si="6"/>
        <v>1.6382878245313015</v>
      </c>
      <c r="M34" s="1">
        <f t="shared" si="6"/>
        <v>22.949275725265181</v>
      </c>
      <c r="N34" s="1">
        <f t="shared" si="6"/>
        <v>18.383457726313672</v>
      </c>
      <c r="O34">
        <f t="shared" si="0"/>
        <v>2009</v>
      </c>
      <c r="P34" s="2">
        <f t="shared" si="3"/>
        <v>564.58917806721468</v>
      </c>
      <c r="Q34" s="9">
        <f t="shared" si="10"/>
        <v>4.7444468745144093</v>
      </c>
      <c r="R34" s="9">
        <f t="shared" si="11"/>
        <v>1.556974855090961</v>
      </c>
      <c r="S34" s="74">
        <f t="shared" si="7"/>
        <v>239.31229624959971</v>
      </c>
      <c r="T34" s="1">
        <f t="shared" si="8"/>
        <v>-325.27688181761494</v>
      </c>
      <c r="V34" s="9"/>
      <c r="W34" s="9"/>
      <c r="X34" s="9"/>
      <c r="Y34" s="9"/>
      <c r="AD34">
        <f t="shared" si="12"/>
        <v>4000</v>
      </c>
      <c r="AE34">
        <f t="shared" si="13"/>
        <v>4000</v>
      </c>
    </row>
    <row r="35" spans="1:31" x14ac:dyDescent="0.3">
      <c r="A35">
        <v>2010</v>
      </c>
      <c r="B35" s="2">
        <f t="shared" si="9"/>
        <v>244</v>
      </c>
      <c r="C35" s="1">
        <v>19.761661635446266</v>
      </c>
      <c r="D35" s="1">
        <v>96.349006006048327</v>
      </c>
      <c r="E35" s="1">
        <v>92.069532191781704</v>
      </c>
      <c r="F35" s="1">
        <v>35.819800166723709</v>
      </c>
      <c r="G35" s="9">
        <v>2.2146989999999998E-2</v>
      </c>
      <c r="H35" s="9">
        <v>5.3677639999999999E-2</v>
      </c>
      <c r="I35" s="9">
        <v>0.39406200000000002</v>
      </c>
      <c r="J35" s="9">
        <v>0.61642969999999997</v>
      </c>
      <c r="K35" s="1">
        <f t="shared" si="6"/>
        <v>0.44757373362650082</v>
      </c>
      <c r="L35" s="1">
        <f t="shared" si="6"/>
        <v>5.4651432507105708</v>
      </c>
      <c r="M35" s="1">
        <f t="shared" si="6"/>
        <v>59.875934492568355</v>
      </c>
      <c r="N35" s="1">
        <f t="shared" si="6"/>
        <v>57.565428477735232</v>
      </c>
      <c r="O35">
        <f t="shared" si="0"/>
        <v>2010</v>
      </c>
      <c r="P35" s="2">
        <f t="shared" si="3"/>
        <v>2084.6933505850648</v>
      </c>
      <c r="Q35" s="9">
        <f t="shared" si="10"/>
        <v>8.5438252073158392</v>
      </c>
      <c r="R35" s="9">
        <f t="shared" si="11"/>
        <v>2.1452088240633289</v>
      </c>
      <c r="S35" s="74">
        <f t="shared" si="7"/>
        <v>434.15922991379455</v>
      </c>
      <c r="T35" s="1">
        <f t="shared" si="8"/>
        <v>-1650.5341206712701</v>
      </c>
      <c r="V35" s="9"/>
      <c r="W35" s="9"/>
      <c r="X35" s="9"/>
      <c r="Y35" s="9"/>
      <c r="AD35">
        <f t="shared" si="12"/>
        <v>5000</v>
      </c>
      <c r="AE35">
        <f t="shared" si="13"/>
        <v>5000</v>
      </c>
    </row>
    <row r="36" spans="1:31" x14ac:dyDescent="0.3">
      <c r="A36">
        <v>2011</v>
      </c>
      <c r="B36" s="2">
        <f t="shared" si="9"/>
        <v>200</v>
      </c>
      <c r="C36" s="1">
        <v>8.0195280074715711</v>
      </c>
      <c r="D36" s="1">
        <v>23.071704226826299</v>
      </c>
      <c r="E36" s="1">
        <v>159.25281893382908</v>
      </c>
      <c r="F36" s="1">
        <v>9.6559488318730526</v>
      </c>
      <c r="G36" s="9">
        <v>2.973539E-2</v>
      </c>
      <c r="H36" s="9">
        <v>3.9607169999999997E-2</v>
      </c>
      <c r="I36" s="9">
        <v>0.2855086</v>
      </c>
      <c r="J36" s="9">
        <v>0.67373159999999999</v>
      </c>
      <c r="K36" s="1">
        <f t="shared" si="6"/>
        <v>0.24577191671258636</v>
      </c>
      <c r="L36" s="1">
        <f t="shared" si="6"/>
        <v>0.95149076810749167</v>
      </c>
      <c r="M36" s="1">
        <f t="shared" si="6"/>
        <v>63.636944237328862</v>
      </c>
      <c r="N36" s="1">
        <f t="shared" si="6"/>
        <v>19.939160078070575</v>
      </c>
      <c r="O36">
        <f t="shared" si="0"/>
        <v>2011</v>
      </c>
      <c r="P36" s="2">
        <f t="shared" si="3"/>
        <v>774.78030321748258</v>
      </c>
      <c r="Q36" s="9">
        <f t="shared" si="10"/>
        <v>3.8739015160874128</v>
      </c>
      <c r="R36" s="9">
        <f t="shared" si="11"/>
        <v>1.3542621428979622</v>
      </c>
      <c r="S36" s="74">
        <f t="shared" si="7"/>
        <v>371.53618679921993</v>
      </c>
      <c r="T36" s="1">
        <f t="shared" si="8"/>
        <v>-403.24411641826265</v>
      </c>
      <c r="V36" s="9"/>
      <c r="W36" s="9"/>
      <c r="X36" s="9"/>
      <c r="Y36" s="9"/>
      <c r="AD36">
        <f t="shared" si="12"/>
        <v>6000</v>
      </c>
      <c r="AE36">
        <f t="shared" si="13"/>
        <v>6000</v>
      </c>
    </row>
    <row r="37" spans="1:31" x14ac:dyDescent="0.3">
      <c r="A37">
        <v>2012</v>
      </c>
      <c r="B37" s="2">
        <f t="shared" si="9"/>
        <v>393.36163173795944</v>
      </c>
      <c r="C37" s="1">
        <v>23.744535722049765</v>
      </c>
      <c r="D37" s="1">
        <v>34.847841179373688</v>
      </c>
      <c r="E37" s="1">
        <v>187.18516690341272</v>
      </c>
      <c r="F37" s="1">
        <v>147.58408793312327</v>
      </c>
      <c r="G37" s="9">
        <v>2.4349464624212305E-2</v>
      </c>
      <c r="H37" s="9">
        <v>6.9017833959685693E-2</v>
      </c>
      <c r="I37" s="9">
        <v>0.23003348873348875</v>
      </c>
      <c r="J37" s="9">
        <v>0.38684854844351174</v>
      </c>
      <c r="K37" s="1">
        <f t="shared" si="6"/>
        <v>0.5925961311133866</v>
      </c>
      <c r="L37" s="1">
        <f t="shared" si="6"/>
        <v>2.583424907698352</v>
      </c>
      <c r="M37" s="1">
        <f t="shared" si="6"/>
        <v>55.923025679552296</v>
      </c>
      <c r="N37" s="1">
        <f t="shared" si="6"/>
        <v>93.11352039591236</v>
      </c>
      <c r="O37">
        <f t="shared" si="0"/>
        <v>2012</v>
      </c>
      <c r="P37" s="2">
        <f t="shared" si="3"/>
        <v>2131.6172979893581</v>
      </c>
      <c r="Q37" s="9">
        <f t="shared" si="10"/>
        <v>5.4189761430757679</v>
      </c>
      <c r="R37" s="9">
        <f t="shared" si="11"/>
        <v>1.6899068941154873</v>
      </c>
      <c r="S37" s="74">
        <f t="shared" si="7"/>
        <v>604.68901524313708</v>
      </c>
      <c r="T37" s="1">
        <f t="shared" si="8"/>
        <v>-1526.9282827462212</v>
      </c>
      <c r="V37" s="9"/>
      <c r="W37" s="9"/>
      <c r="X37" s="9"/>
      <c r="Y37" s="9"/>
      <c r="AD37">
        <f t="shared" si="12"/>
        <v>7000</v>
      </c>
      <c r="AE37">
        <f t="shared" si="13"/>
        <v>7000</v>
      </c>
    </row>
    <row r="38" spans="1:31" x14ac:dyDescent="0.3">
      <c r="A38">
        <v>2013</v>
      </c>
      <c r="B38" s="2">
        <f t="shared" si="9"/>
        <v>877.05246824973688</v>
      </c>
      <c r="C38" s="1">
        <v>11.873453992550589</v>
      </c>
      <c r="D38" s="1">
        <v>359.36987417453116</v>
      </c>
      <c r="E38" s="1">
        <v>313.4591854033356</v>
      </c>
      <c r="F38" s="1">
        <v>192.34995467931955</v>
      </c>
      <c r="G38" s="9">
        <v>2.525063E-2</v>
      </c>
      <c r="H38" s="9">
        <v>9.4009469999999998E-2</v>
      </c>
      <c r="I38" s="9">
        <v>0.31465310000000002</v>
      </c>
      <c r="J38" s="9">
        <v>0.50877289999999997</v>
      </c>
      <c r="K38" s="1">
        <f t="shared" si="6"/>
        <v>0.30757875082075475</v>
      </c>
      <c r="L38" s="1">
        <f t="shared" si="6"/>
        <v>37.289762184505797</v>
      </c>
      <c r="M38" s="1">
        <f t="shared" si="6"/>
        <v>143.91384043706086</v>
      </c>
      <c r="N38" s="1">
        <f t="shared" si="6"/>
        <v>199.22036926925645</v>
      </c>
      <c r="O38">
        <f t="shared" si="0"/>
        <v>2013</v>
      </c>
      <c r="P38" s="2">
        <f t="shared" si="3"/>
        <v>1553.1521443544571</v>
      </c>
      <c r="Q38" s="9">
        <f t="shared" si="10"/>
        <v>1.7708771146314177</v>
      </c>
      <c r="R38" s="9">
        <f t="shared" si="11"/>
        <v>0.57147496883336879</v>
      </c>
      <c r="S38" s="74">
        <f t="shared" si="7"/>
        <v>839.58777213736778</v>
      </c>
      <c r="T38" s="1">
        <f t="shared" si="8"/>
        <v>-713.56437221708927</v>
      </c>
      <c r="V38" s="9"/>
      <c r="W38" s="9"/>
      <c r="X38" s="9"/>
      <c r="Y38" s="9"/>
      <c r="AD38">
        <f t="shared" si="12"/>
        <v>8000</v>
      </c>
      <c r="AE38">
        <f t="shared" si="13"/>
        <v>8000</v>
      </c>
    </row>
    <row r="39" spans="1:31" x14ac:dyDescent="0.3">
      <c r="A39">
        <v>2014</v>
      </c>
      <c r="B39" s="2">
        <f t="shared" si="9"/>
        <v>492.74964797878306</v>
      </c>
      <c r="C39" s="1">
        <v>31.85881344690408</v>
      </c>
      <c r="D39" s="1">
        <v>56.283903756197205</v>
      </c>
      <c r="E39" s="1">
        <v>364.78341396705167</v>
      </c>
      <c r="F39" s="1">
        <v>39.823516808630096</v>
      </c>
      <c r="G39" s="9">
        <v>2.7811280000000001E-2</v>
      </c>
      <c r="H39" s="9">
        <v>7.4414549999999996E-2</v>
      </c>
      <c r="I39" s="9">
        <v>0.3265998</v>
      </c>
      <c r="J39" s="9">
        <v>0.35266930000000002</v>
      </c>
      <c r="K39" s="1">
        <f t="shared" si="6"/>
        <v>0.91138105494539634</v>
      </c>
      <c r="L39" s="1">
        <f t="shared" si="6"/>
        <v>4.5250726124321901</v>
      </c>
      <c r="M39" s="1">
        <f t="shared" si="6"/>
        <v>176.92033659175669</v>
      </c>
      <c r="N39" s="1">
        <f t="shared" si="6"/>
        <v>21.696069406931901</v>
      </c>
      <c r="O39">
        <f t="shared" si="0"/>
        <v>2014</v>
      </c>
      <c r="P39" s="2">
        <f>SUM(F44,E43,D42,C41,K41,L42,M43,N44)</f>
        <v>538.9344498398749</v>
      </c>
      <c r="Q39" s="9">
        <f t="shared" si="10"/>
        <v>1.0937287363888295</v>
      </c>
      <c r="R39" s="9">
        <f t="shared" si="11"/>
        <v>8.9592717484780815E-2</v>
      </c>
      <c r="S39" s="74">
        <f t="shared" si="7"/>
        <v>687.22601508142111</v>
      </c>
      <c r="T39" s="1">
        <f t="shared" si="8"/>
        <v>148.29156524154621</v>
      </c>
      <c r="V39" s="9"/>
      <c r="W39" s="9"/>
      <c r="X39" s="9"/>
      <c r="Y39" s="9"/>
      <c r="AD39">
        <f t="shared" si="12"/>
        <v>9000</v>
      </c>
      <c r="AE39">
        <f t="shared" si="13"/>
        <v>9000</v>
      </c>
    </row>
    <row r="40" spans="1:31" x14ac:dyDescent="0.3">
      <c r="A40">
        <v>2015</v>
      </c>
      <c r="B40" s="2">
        <f t="shared" si="9"/>
        <v>1047.1290106494962</v>
      </c>
      <c r="C40" s="1">
        <v>6.4241043598128602</v>
      </c>
      <c r="D40" s="1">
        <v>506.70123138023934</v>
      </c>
      <c r="E40" s="1">
        <v>306.75098318106404</v>
      </c>
      <c r="F40" s="1">
        <v>227.25269172837994</v>
      </c>
      <c r="G40" s="9">
        <v>6.835865E-3</v>
      </c>
      <c r="H40" s="9">
        <v>0.104323</v>
      </c>
      <c r="I40" s="9">
        <v>0.48411999999999999</v>
      </c>
      <c r="J40" s="9">
        <v>0.79745619999999995</v>
      </c>
      <c r="K40" s="1">
        <f t="shared" si="6"/>
        <v>4.4216568643603037E-2</v>
      </c>
      <c r="L40" s="1">
        <f t="shared" si="6"/>
        <v>59.017472326832888</v>
      </c>
      <c r="M40" s="1">
        <f t="shared" si="6"/>
        <v>287.86594940221897</v>
      </c>
      <c r="N40" s="1">
        <f t="shared" si="6"/>
        <v>894.74014008567644</v>
      </c>
      <c r="O40">
        <f t="shared" si="0"/>
        <v>2015</v>
      </c>
      <c r="P40" s="2">
        <f>SUM(F45,E44,D43,C42,K42,L43,M44,N45)</f>
        <v>772.36762824414109</v>
      </c>
      <c r="Q40" s="9">
        <f t="shared" ref="Q40" si="14">P40/B40</f>
        <v>0.7376050327982695</v>
      </c>
      <c r="R40" s="9">
        <f t="shared" ref="R40" si="15">LN(Q40)</f>
        <v>-0.30434678355496492</v>
      </c>
      <c r="S40" s="74">
        <f t="shared" ref="S40" si="16">B40*EXP($S$1-$S$2*B40)</f>
        <v>848.61781975017198</v>
      </c>
      <c r="T40" s="1">
        <f t="shared" ref="T40" si="17">S40-P40</f>
        <v>76.250191506030887</v>
      </c>
      <c r="V40" s="9"/>
      <c r="W40" s="9"/>
      <c r="X40" s="9"/>
      <c r="Y40" s="9"/>
      <c r="AD40">
        <f t="shared" si="12"/>
        <v>10000</v>
      </c>
      <c r="AE40">
        <f t="shared" si="13"/>
        <v>10000</v>
      </c>
    </row>
    <row r="41" spans="1:31" x14ac:dyDescent="0.3">
      <c r="A41">
        <v>2016</v>
      </c>
      <c r="B41" s="2">
        <f t="shared" si="9"/>
        <v>815</v>
      </c>
      <c r="C41" s="1">
        <v>4.3076109936575051</v>
      </c>
      <c r="D41" s="1">
        <v>127.50528541226215</v>
      </c>
      <c r="E41" s="1">
        <v>655.61839323467234</v>
      </c>
      <c r="F41" s="1">
        <v>27.568710359408033</v>
      </c>
      <c r="G41" s="9">
        <v>6.4811640000000004E-4</v>
      </c>
      <c r="H41" s="9">
        <v>5.754447E-2</v>
      </c>
      <c r="I41" s="9">
        <v>0.40689955588079441</v>
      </c>
      <c r="J41" s="9">
        <v>0.74276527331189701</v>
      </c>
      <c r="K41" s="1">
        <f t="shared" si="6"/>
        <v>2.7936439362605762E-3</v>
      </c>
      <c r="L41" s="1">
        <f t="shared" si="6"/>
        <v>7.7852204562345309</v>
      </c>
      <c r="M41" s="1">
        <f t="shared" si="6"/>
        <v>449.79031069626154</v>
      </c>
      <c r="N41" s="1">
        <f t="shared" si="6"/>
        <v>79.60465116279066</v>
      </c>
      <c r="O41">
        <f t="shared" si="0"/>
        <v>2016</v>
      </c>
      <c r="P41" s="2"/>
      <c r="V41" s="9"/>
      <c r="W41" s="9"/>
      <c r="X41" s="9"/>
      <c r="Y41" s="9"/>
      <c r="Z41" s="56"/>
      <c r="AD41">
        <f t="shared" si="12"/>
        <v>11000</v>
      </c>
      <c r="AE41">
        <f t="shared" si="13"/>
        <v>11000</v>
      </c>
    </row>
    <row r="42" spans="1:31" x14ac:dyDescent="0.3">
      <c r="A42">
        <v>2017</v>
      </c>
      <c r="B42" s="2">
        <f t="shared" si="9"/>
        <v>993</v>
      </c>
      <c r="C42" s="1">
        <v>16.057021276595744</v>
      </c>
      <c r="D42" s="1">
        <v>108.1736170212766</v>
      </c>
      <c r="E42" s="1">
        <v>641.43574468085103</v>
      </c>
      <c r="F42" s="1">
        <v>227.33361702127658</v>
      </c>
      <c r="G42" s="9">
        <v>1.2863884466681831E-2</v>
      </c>
      <c r="H42" s="9">
        <v>8.3217529004944571E-2</v>
      </c>
      <c r="I42" s="9">
        <v>0.39669480521137074</v>
      </c>
      <c r="J42" s="9">
        <v>0.4684986003046579</v>
      </c>
      <c r="K42" s="1">
        <f t="shared" si="6"/>
        <v>0.20924740097224001</v>
      </c>
      <c r="L42" s="1">
        <f t="shared" si="6"/>
        <v>9.8190589336501422</v>
      </c>
      <c r="M42" s="1">
        <f t="shared" si="6"/>
        <v>421.7670094502169</v>
      </c>
      <c r="N42" s="1">
        <f t="shared" si="6"/>
        <v>200.38607882822589</v>
      </c>
      <c r="O42">
        <f t="shared" si="0"/>
        <v>2017</v>
      </c>
      <c r="P42" s="2"/>
      <c r="V42" s="9"/>
      <c r="W42" s="9"/>
      <c r="X42" s="9"/>
      <c r="Y42" s="9"/>
      <c r="Z42" s="56"/>
      <c r="AD42">
        <f t="shared" si="12"/>
        <v>12000</v>
      </c>
      <c r="AE42">
        <f t="shared" si="13"/>
        <v>12000</v>
      </c>
    </row>
    <row r="43" spans="1:31" x14ac:dyDescent="0.3">
      <c r="A43">
        <v>2018</v>
      </c>
      <c r="B43" s="2">
        <f t="shared" si="9"/>
        <v>769.35483870967744</v>
      </c>
      <c r="C43" s="1">
        <v>19.35483870967742</v>
      </c>
      <c r="D43" s="1">
        <v>327.82258064516128</v>
      </c>
      <c r="E43" s="1">
        <v>204.43548387096774</v>
      </c>
      <c r="F43" s="1">
        <v>217.74193548387098</v>
      </c>
      <c r="G43" s="9">
        <v>4.8495465673959485E-3</v>
      </c>
      <c r="H43" s="9">
        <v>7.9853133903889734E-2</v>
      </c>
      <c r="I43" s="9">
        <v>0.41923861832657283</v>
      </c>
      <c r="J43" s="9">
        <v>0.3746472238042875</v>
      </c>
      <c r="K43" s="1">
        <f t="shared" si="6"/>
        <v>9.4319598914170744E-2</v>
      </c>
      <c r="L43" s="1">
        <f t="shared" si="6"/>
        <v>28.449437142616393</v>
      </c>
      <c r="M43" s="1">
        <f t="shared" si="6"/>
        <v>147.57739150635132</v>
      </c>
      <c r="N43" s="1">
        <f t="shared" si="6"/>
        <v>130.44862794256488</v>
      </c>
      <c r="O43">
        <f t="shared" si="0"/>
        <v>2018</v>
      </c>
      <c r="V43" s="9"/>
      <c r="W43" s="9"/>
      <c r="X43" s="9"/>
      <c r="Y43" s="9"/>
      <c r="Z43" s="56"/>
      <c r="AD43">
        <f t="shared" si="12"/>
        <v>13000</v>
      </c>
      <c r="AE43">
        <f t="shared" si="13"/>
        <v>13000</v>
      </c>
    </row>
    <row r="44" spans="1:31" x14ac:dyDescent="0.3">
      <c r="A44">
        <v>2019</v>
      </c>
      <c r="B44" s="2">
        <f>SUM(C44:F44)</f>
        <v>411</v>
      </c>
      <c r="C44" s="1">
        <v>22.868624420401854</v>
      </c>
      <c r="D44" s="1">
        <v>111.16692426584234</v>
      </c>
      <c r="E44" s="1">
        <v>250.28438948995361</v>
      </c>
      <c r="F44" s="1">
        <v>26.680061823802163</v>
      </c>
      <c r="G44" s="9">
        <v>2.3319049826449733E-3</v>
      </c>
      <c r="H44" s="9">
        <v>6.8433964124364227E-2</v>
      </c>
      <c r="I44" s="9">
        <v>0.29393601850478468</v>
      </c>
      <c r="J44" s="9">
        <v>0.5871141491248193</v>
      </c>
      <c r="K44" s="1">
        <f t="shared" si="6"/>
        <v>5.3452104460896821E-2</v>
      </c>
      <c r="L44" s="1">
        <f t="shared" si="6"/>
        <v>8.1664562833419829</v>
      </c>
      <c r="M44" s="1">
        <f t="shared" si="6"/>
        <v>104.19395248683462</v>
      </c>
      <c r="N44" s="1">
        <f t="shared" si="6"/>
        <v>37.93843204623311</v>
      </c>
      <c r="O44">
        <f t="shared" si="0"/>
        <v>2019</v>
      </c>
      <c r="V44" s="9"/>
      <c r="W44" s="9"/>
      <c r="X44" s="9"/>
      <c r="Y44" s="9"/>
      <c r="Z44" s="56"/>
      <c r="AD44">
        <f>AD43+1000</f>
        <v>14000</v>
      </c>
      <c r="AE44">
        <f t="shared" si="13"/>
        <v>14000</v>
      </c>
    </row>
    <row r="45" spans="1:31" x14ac:dyDescent="0.3">
      <c r="A45">
        <v>2020</v>
      </c>
      <c r="B45" s="97">
        <f>SUM(C45:F45)</f>
        <v>441.99999999999994</v>
      </c>
      <c r="C45" s="98">
        <v>14.601021577086783</v>
      </c>
      <c r="D45" s="98">
        <v>191.78794361940513</v>
      </c>
      <c r="E45" s="99">
        <v>208.40043492230382</v>
      </c>
      <c r="F45" s="99">
        <v>27.210599881204271</v>
      </c>
      <c r="G45" s="96">
        <v>8.9999999999999993E-3</v>
      </c>
      <c r="H45" s="96">
        <v>4.5999999999999999E-2</v>
      </c>
      <c r="I45" s="96">
        <v>0.193</v>
      </c>
      <c r="J45" s="96">
        <v>0.4</v>
      </c>
      <c r="K45" s="94">
        <f t="shared" ref="K45" si="18">(G45*C45)/(1-G45)</f>
        <v>0.13260261775356311</v>
      </c>
      <c r="L45" s="94">
        <f t="shared" ref="L45" si="19">(H45*D45)/(1-H45)</f>
        <v>9.247636694436725</v>
      </c>
      <c r="M45" s="94">
        <f t="shared" ref="M45" si="20">(I45*E45)/(1-I45)</f>
        <v>49.840500545234995</v>
      </c>
      <c r="N45" s="94">
        <f t="shared" ref="N45" si="21">(J45*F45)/(1-J45)</f>
        <v>18.140399920802849</v>
      </c>
      <c r="O45" s="55">
        <f t="shared" ref="O45" si="22">A45</f>
        <v>2020</v>
      </c>
      <c r="Z45" s="56"/>
      <c r="AD45">
        <f t="shared" si="12"/>
        <v>15000</v>
      </c>
      <c r="AE45">
        <f t="shared" si="13"/>
        <v>15000</v>
      </c>
    </row>
    <row r="46" spans="1:31" x14ac:dyDescent="0.3">
      <c r="U46" s="56"/>
      <c r="V46" s="81"/>
      <c r="W46" s="80"/>
      <c r="X46" s="80"/>
      <c r="Y46" s="80"/>
      <c r="Z46" s="56"/>
      <c r="AD46">
        <f t="shared" si="12"/>
        <v>16000</v>
      </c>
      <c r="AE46">
        <f t="shared" si="13"/>
        <v>16000</v>
      </c>
    </row>
    <row r="47" spans="1:31" x14ac:dyDescent="0.3">
      <c r="G47" s="9"/>
      <c r="H47" s="9"/>
      <c r="I47" s="9"/>
      <c r="J47" s="9"/>
      <c r="U47" s="56"/>
      <c r="V47" s="81"/>
      <c r="W47" s="80"/>
      <c r="X47" s="80"/>
      <c r="Y47" s="80"/>
      <c r="Z47" s="56"/>
      <c r="AD47">
        <f t="shared" si="12"/>
        <v>17000</v>
      </c>
      <c r="AE47">
        <f t="shared" si="13"/>
        <v>17000</v>
      </c>
    </row>
    <row r="48" spans="1:31" x14ac:dyDescent="0.3">
      <c r="G48" s="9"/>
      <c r="H48" s="9"/>
      <c r="I48" s="9"/>
      <c r="J48" s="9"/>
      <c r="U48" s="56"/>
      <c r="V48" s="81"/>
      <c r="W48" s="80"/>
      <c r="X48" s="80"/>
      <c r="Y48" s="80"/>
      <c r="Z48" s="56"/>
      <c r="AD48">
        <f t="shared" si="12"/>
        <v>18000</v>
      </c>
      <c r="AE48">
        <f t="shared" si="13"/>
        <v>18000</v>
      </c>
    </row>
    <row r="49" spans="7:31" x14ac:dyDescent="0.3">
      <c r="G49" s="9"/>
      <c r="H49" s="9"/>
      <c r="I49" s="9"/>
      <c r="J49" s="9"/>
      <c r="U49" s="56"/>
      <c r="V49" s="81"/>
      <c r="W49" s="80"/>
      <c r="X49" s="80"/>
      <c r="Y49" s="80"/>
      <c r="Z49" s="56"/>
      <c r="AD49">
        <f t="shared" si="12"/>
        <v>19000</v>
      </c>
      <c r="AE49">
        <f t="shared" si="13"/>
        <v>19000</v>
      </c>
    </row>
    <row r="50" spans="7:31" x14ac:dyDescent="0.3">
      <c r="U50" s="56"/>
      <c r="V50" s="81"/>
      <c r="W50" s="80"/>
      <c r="X50" s="80"/>
      <c r="Y50" s="80"/>
      <c r="Z50" s="56"/>
      <c r="AD50">
        <f t="shared" si="12"/>
        <v>20000</v>
      </c>
      <c r="AE50">
        <f t="shared" si="13"/>
        <v>20000</v>
      </c>
    </row>
    <row r="51" spans="7:31" x14ac:dyDescent="0.3">
      <c r="U51" s="56"/>
      <c r="V51" s="81"/>
      <c r="W51" s="80"/>
      <c r="X51" s="80"/>
      <c r="Y51" s="80"/>
      <c r="Z51" s="56"/>
      <c r="AD51">
        <f t="shared" si="12"/>
        <v>21000</v>
      </c>
      <c r="AE51">
        <f t="shared" si="13"/>
        <v>21000</v>
      </c>
    </row>
    <row r="52" spans="7:31" x14ac:dyDescent="0.3">
      <c r="M52" s="58" t="s">
        <v>164</v>
      </c>
      <c r="N52" s="59" t="s">
        <v>165</v>
      </c>
      <c r="O52" s="59"/>
      <c r="P52" s="59"/>
      <c r="Q52" s="60"/>
      <c r="U52" s="56"/>
      <c r="V52" s="81"/>
      <c r="W52" s="80"/>
      <c r="X52" s="80"/>
      <c r="Y52" s="80"/>
      <c r="Z52" s="56"/>
      <c r="AD52">
        <f t="shared" si="12"/>
        <v>22000</v>
      </c>
      <c r="AE52">
        <f t="shared" si="13"/>
        <v>22000</v>
      </c>
    </row>
    <row r="53" spans="7:31" x14ac:dyDescent="0.3">
      <c r="M53" s="61" t="s">
        <v>168</v>
      </c>
      <c r="N53" s="62"/>
      <c r="O53" s="62"/>
      <c r="P53" s="62"/>
      <c r="Q53" s="63"/>
      <c r="U53" s="56"/>
      <c r="V53" s="81"/>
      <c r="W53" s="80"/>
      <c r="X53" s="80"/>
      <c r="Y53" s="80"/>
      <c r="Z53" s="56"/>
      <c r="AD53">
        <f t="shared" si="12"/>
        <v>23000</v>
      </c>
      <c r="AE53">
        <f t="shared" si="13"/>
        <v>23000</v>
      </c>
    </row>
    <row r="54" spans="7:31" x14ac:dyDescent="0.3">
      <c r="M54" s="61" t="s">
        <v>162</v>
      </c>
      <c r="N54" s="62"/>
      <c r="O54" s="64">
        <f>AVERAGE(Q12:Q36)</f>
        <v>1.9097961393271159</v>
      </c>
      <c r="P54" s="62"/>
      <c r="Q54" s="63"/>
      <c r="U54" s="56"/>
      <c r="V54" s="81"/>
      <c r="W54" s="80"/>
      <c r="X54" s="80"/>
      <c r="Y54" s="80"/>
      <c r="AD54">
        <f t="shared" si="12"/>
        <v>24000</v>
      </c>
      <c r="AE54">
        <f t="shared" si="13"/>
        <v>24000</v>
      </c>
    </row>
    <row r="55" spans="7:31" x14ac:dyDescent="0.3">
      <c r="M55" s="61" t="s">
        <v>157</v>
      </c>
      <c r="N55" s="65"/>
      <c r="O55" s="64">
        <f>SLOPE(R10:R39,B10:B39)</f>
        <v>-9.7922203203686651E-4</v>
      </c>
      <c r="P55" s="62"/>
      <c r="Q55" s="66">
        <f>1/-O55</f>
        <v>1021.2188526027275</v>
      </c>
      <c r="U55" s="56"/>
      <c r="V55" s="81"/>
      <c r="W55" s="80"/>
      <c r="X55" s="80"/>
      <c r="Y55" s="80"/>
      <c r="AD55">
        <f t="shared" si="12"/>
        <v>25000</v>
      </c>
      <c r="AE55">
        <f t="shared" si="13"/>
        <v>25000</v>
      </c>
    </row>
    <row r="56" spans="7:31" x14ac:dyDescent="0.3">
      <c r="M56" s="61" t="s">
        <v>158</v>
      </c>
      <c r="N56" s="62" t="s">
        <v>167</v>
      </c>
      <c r="O56" s="64">
        <f>INTERCEPT(R10:R39,B10:B39)</f>
        <v>0.81517330653910425</v>
      </c>
      <c r="P56" s="62"/>
      <c r="Q56" s="63"/>
      <c r="U56" s="56"/>
      <c r="V56" s="82"/>
      <c r="W56" s="82"/>
      <c r="X56" s="82"/>
      <c r="Y56" s="82"/>
      <c r="AD56">
        <f t="shared" si="12"/>
        <v>26000</v>
      </c>
      <c r="AE56">
        <f t="shared" si="13"/>
        <v>26000</v>
      </c>
    </row>
    <row r="57" spans="7:31" x14ac:dyDescent="0.3">
      <c r="K57" s="56"/>
      <c r="L57" s="56"/>
      <c r="M57" s="61" t="s">
        <v>166</v>
      </c>
      <c r="N57" s="62"/>
      <c r="O57" s="64">
        <f>EXP(O56)</f>
        <v>2.2595672361960122</v>
      </c>
      <c r="P57" s="67" t="s">
        <v>163</v>
      </c>
      <c r="Q57" s="63"/>
      <c r="U57" s="56"/>
      <c r="V57" s="82"/>
      <c r="W57" s="82"/>
      <c r="X57" s="82"/>
      <c r="Y57" s="82"/>
      <c r="AD57">
        <f t="shared" si="12"/>
        <v>27000</v>
      </c>
      <c r="AE57">
        <f t="shared" si="13"/>
        <v>27000</v>
      </c>
    </row>
    <row r="58" spans="7:31" x14ac:dyDescent="0.3">
      <c r="K58" s="56"/>
      <c r="L58" s="56"/>
      <c r="M58" s="61" t="s">
        <v>31</v>
      </c>
      <c r="N58" s="62"/>
      <c r="O58" s="64">
        <f>0.5*O56-0.07*O56^2</f>
        <v>0.36107112689097937</v>
      </c>
      <c r="P58" s="62"/>
      <c r="Q58" s="63"/>
      <c r="S58" s="57"/>
      <c r="U58" s="56"/>
      <c r="V58" s="56"/>
      <c r="W58" s="56"/>
      <c r="X58" s="56"/>
      <c r="Y58" s="56"/>
      <c r="AD58">
        <f t="shared" si="12"/>
        <v>28000</v>
      </c>
      <c r="AE58">
        <f t="shared" si="13"/>
        <v>28000</v>
      </c>
    </row>
    <row r="59" spans="7:31" x14ac:dyDescent="0.3">
      <c r="K59" s="56"/>
      <c r="L59" s="56"/>
      <c r="M59" s="61"/>
      <c r="N59" s="62" t="s">
        <v>16</v>
      </c>
      <c r="O59" s="62">
        <f>O56/-O55</f>
        <v>832.47034877623548</v>
      </c>
      <c r="P59" s="62"/>
      <c r="Q59" s="63"/>
      <c r="AD59">
        <f t="shared" si="12"/>
        <v>29000</v>
      </c>
      <c r="AE59">
        <f t="shared" si="13"/>
        <v>29000</v>
      </c>
    </row>
    <row r="60" spans="7:31" x14ac:dyDescent="0.3">
      <c r="K60" s="56"/>
      <c r="L60" s="56"/>
      <c r="M60" s="61"/>
      <c r="N60" s="62" t="s">
        <v>15</v>
      </c>
      <c r="O60" s="68">
        <f>O56/-O55*(0.5-(0.07*O56))</f>
        <v>368.73264191157978</v>
      </c>
      <c r="P60" s="62"/>
      <c r="Q60" s="63"/>
      <c r="AD60">
        <f t="shared" si="12"/>
        <v>30000</v>
      </c>
      <c r="AE60">
        <f t="shared" si="13"/>
        <v>30000</v>
      </c>
    </row>
    <row r="61" spans="7:31" x14ac:dyDescent="0.3">
      <c r="K61" s="56"/>
      <c r="L61" s="56"/>
      <c r="M61" s="61"/>
      <c r="N61" s="62" t="s">
        <v>169</v>
      </c>
      <c r="O61" s="69">
        <f>1/-O55</f>
        <v>1021.2188526027275</v>
      </c>
      <c r="P61" s="62"/>
      <c r="Q61" s="63"/>
      <c r="AD61">
        <f t="shared" si="12"/>
        <v>31000</v>
      </c>
      <c r="AE61">
        <f t="shared" si="13"/>
        <v>31000</v>
      </c>
    </row>
    <row r="62" spans="7:31" x14ac:dyDescent="0.3">
      <c r="K62" s="56"/>
      <c r="L62" s="56"/>
      <c r="M62" s="61"/>
      <c r="N62" s="62"/>
      <c r="O62" s="69"/>
      <c r="P62" s="62"/>
      <c r="Q62" s="63"/>
      <c r="AD62">
        <f t="shared" si="12"/>
        <v>32000</v>
      </c>
      <c r="AE62">
        <f t="shared" si="13"/>
        <v>32000</v>
      </c>
    </row>
    <row r="63" spans="7:31" x14ac:dyDescent="0.3">
      <c r="G63" s="2"/>
      <c r="K63" s="56"/>
      <c r="L63" s="56"/>
      <c r="M63" s="61"/>
      <c r="N63" s="62"/>
      <c r="O63" s="69"/>
      <c r="P63" s="62"/>
      <c r="Q63" s="63"/>
      <c r="AD63">
        <f t="shared" si="12"/>
        <v>33000</v>
      </c>
      <c r="AE63">
        <f t="shared" si="13"/>
        <v>33000</v>
      </c>
    </row>
    <row r="64" spans="7:31" x14ac:dyDescent="0.3">
      <c r="G64" s="2"/>
      <c r="K64" s="56"/>
      <c r="L64" s="56"/>
      <c r="M64" s="70" t="s">
        <v>33</v>
      </c>
      <c r="N64" s="71" t="s">
        <v>159</v>
      </c>
      <c r="O64" s="72">
        <f>(O57/-O55)*EXP(-1)</f>
        <v>848.88646797705428</v>
      </c>
      <c r="P64" s="71"/>
      <c r="Q64" s="72"/>
      <c r="R64" s="57"/>
      <c r="AD64">
        <f t="shared" si="12"/>
        <v>34000</v>
      </c>
      <c r="AE64">
        <f t="shared" si="13"/>
        <v>34000</v>
      </c>
    </row>
    <row r="65" spans="7:31" x14ac:dyDescent="0.3">
      <c r="G65" s="2"/>
      <c r="K65" s="56"/>
      <c r="L65" s="56"/>
      <c r="M65" s="56"/>
      <c r="N65" s="56"/>
      <c r="O65" s="56"/>
      <c r="P65" s="56"/>
      <c r="Q65" s="56"/>
      <c r="AD65">
        <f t="shared" si="12"/>
        <v>35000</v>
      </c>
      <c r="AE65">
        <f t="shared" si="13"/>
        <v>35000</v>
      </c>
    </row>
    <row r="66" spans="7:31" x14ac:dyDescent="0.3">
      <c r="G66" s="2"/>
      <c r="H66" s="11"/>
      <c r="K66" s="56"/>
      <c r="L66" s="56"/>
      <c r="M66" s="56"/>
      <c r="N66" s="56"/>
      <c r="O66" s="56"/>
      <c r="P66" s="56"/>
      <c r="Q66" s="56"/>
      <c r="AD66">
        <f t="shared" si="12"/>
        <v>36000</v>
      </c>
      <c r="AE66">
        <f t="shared" si="13"/>
        <v>36000</v>
      </c>
    </row>
    <row r="67" spans="7:31" x14ac:dyDescent="0.3">
      <c r="G67" s="2"/>
      <c r="H67" s="11"/>
      <c r="K67" s="56"/>
      <c r="L67" s="85"/>
      <c r="M67" s="85"/>
      <c r="N67" s="85"/>
      <c r="O67" s="85"/>
      <c r="P67" s="85"/>
      <c r="Q67" s="85"/>
      <c r="R67" s="85"/>
      <c r="AD67">
        <f t="shared" si="12"/>
        <v>37000</v>
      </c>
      <c r="AE67">
        <f t="shared" si="13"/>
        <v>37000</v>
      </c>
    </row>
    <row r="68" spans="7:31" x14ac:dyDescent="0.3">
      <c r="G68" s="2"/>
      <c r="H68" s="11"/>
      <c r="K68" s="56"/>
      <c r="L68" s="85"/>
      <c r="M68" s="85"/>
      <c r="N68" s="85"/>
      <c r="O68" s="85"/>
      <c r="P68" s="85"/>
      <c r="Q68" s="85"/>
      <c r="R68" s="85"/>
      <c r="AD68">
        <f t="shared" si="12"/>
        <v>38000</v>
      </c>
      <c r="AE68">
        <f t="shared" si="13"/>
        <v>38000</v>
      </c>
    </row>
    <row r="69" spans="7:31" x14ac:dyDescent="0.3">
      <c r="G69" s="2"/>
      <c r="H69" s="11"/>
      <c r="K69" s="56"/>
      <c r="L69" s="85"/>
      <c r="M69" s="85"/>
      <c r="N69" s="85"/>
      <c r="O69" s="85"/>
      <c r="P69" s="85"/>
      <c r="Q69" s="85"/>
      <c r="R69" s="85"/>
      <c r="AD69">
        <f t="shared" si="12"/>
        <v>39000</v>
      </c>
      <c r="AE69">
        <f t="shared" si="13"/>
        <v>39000</v>
      </c>
    </row>
    <row r="70" spans="7:31" x14ac:dyDescent="0.3">
      <c r="G70" s="2"/>
      <c r="H70" s="11"/>
      <c r="K70" s="56"/>
      <c r="L70" s="85"/>
      <c r="M70" s="85"/>
      <c r="N70" s="85"/>
      <c r="O70" s="85"/>
      <c r="P70" s="85"/>
      <c r="Q70" s="85"/>
      <c r="R70" s="85"/>
      <c r="AD70">
        <f t="shared" si="12"/>
        <v>40000</v>
      </c>
      <c r="AE70">
        <f t="shared" si="13"/>
        <v>40000</v>
      </c>
    </row>
    <row r="71" spans="7:31" x14ac:dyDescent="0.3">
      <c r="G71" s="2"/>
      <c r="H71" s="11"/>
      <c r="K71" s="56"/>
      <c r="L71" s="85"/>
      <c r="M71" s="85"/>
      <c r="N71" s="85"/>
      <c r="O71" s="86"/>
      <c r="P71" s="85"/>
      <c r="Q71" s="85"/>
      <c r="R71" s="85"/>
    </row>
    <row r="72" spans="7:31" x14ac:dyDescent="0.3">
      <c r="G72" s="2"/>
      <c r="H72" s="11"/>
      <c r="K72" s="56"/>
      <c r="L72" s="85"/>
      <c r="M72" s="85"/>
      <c r="N72" s="87"/>
      <c r="O72" s="86"/>
      <c r="P72" s="85"/>
      <c r="Q72" s="90"/>
      <c r="R72" s="85"/>
    </row>
    <row r="73" spans="7:31" x14ac:dyDescent="0.3">
      <c r="G73" s="2"/>
      <c r="H73" s="11"/>
      <c r="K73" s="56"/>
      <c r="L73" s="85"/>
      <c r="M73" s="85"/>
      <c r="N73" s="85"/>
      <c r="O73" s="86"/>
      <c r="P73" s="85"/>
      <c r="Q73" s="85"/>
      <c r="R73" s="85"/>
    </row>
    <row r="74" spans="7:31" x14ac:dyDescent="0.3">
      <c r="G74" s="2"/>
      <c r="H74" s="11"/>
      <c r="K74" s="56"/>
      <c r="L74" s="85"/>
      <c r="M74" s="85"/>
      <c r="N74" s="85"/>
      <c r="O74" s="86"/>
      <c r="P74" s="88"/>
      <c r="Q74" s="85"/>
      <c r="R74" s="85"/>
    </row>
    <row r="75" spans="7:31" x14ac:dyDescent="0.3">
      <c r="G75" s="2"/>
      <c r="H75" s="11"/>
      <c r="K75" s="56"/>
      <c r="L75" s="85"/>
      <c r="M75" s="85"/>
      <c r="N75" s="85"/>
      <c r="O75" s="86"/>
      <c r="P75" s="85"/>
      <c r="Q75" s="85"/>
      <c r="R75" s="85"/>
    </row>
    <row r="76" spans="7:31" x14ac:dyDescent="0.3">
      <c r="G76" s="2"/>
      <c r="H76" s="11"/>
      <c r="K76" s="56"/>
      <c r="L76" s="85"/>
      <c r="M76" s="85"/>
      <c r="N76" s="85"/>
      <c r="O76" s="85"/>
      <c r="P76" s="85"/>
      <c r="Q76" s="85"/>
      <c r="R76" s="85"/>
    </row>
    <row r="77" spans="7:31" x14ac:dyDescent="0.3">
      <c r="G77" s="2"/>
      <c r="H77" s="11"/>
      <c r="K77" s="56"/>
      <c r="L77" s="85"/>
      <c r="M77" s="85"/>
      <c r="N77" s="85"/>
      <c r="O77" s="89"/>
      <c r="P77" s="85"/>
      <c r="Q77" s="85"/>
      <c r="R77" s="85"/>
    </row>
    <row r="78" spans="7:31" x14ac:dyDescent="0.3">
      <c r="G78" s="2"/>
      <c r="H78" s="11"/>
      <c r="K78" s="56"/>
      <c r="L78" s="85"/>
      <c r="M78" s="85"/>
      <c r="N78" s="85"/>
      <c r="O78" s="89"/>
      <c r="P78" s="85"/>
      <c r="Q78" s="85"/>
      <c r="R78" s="85"/>
    </row>
    <row r="79" spans="7:31" x14ac:dyDescent="0.3">
      <c r="G79" s="2"/>
      <c r="H79" s="11"/>
      <c r="K79" s="56"/>
      <c r="L79" s="85"/>
      <c r="M79" s="85"/>
      <c r="N79" s="85"/>
      <c r="O79" s="89"/>
      <c r="P79" s="85"/>
      <c r="Q79" s="85"/>
      <c r="R79" s="85"/>
    </row>
    <row r="80" spans="7:31" x14ac:dyDescent="0.3">
      <c r="G80" s="2"/>
      <c r="H80" s="11"/>
      <c r="K80" s="56"/>
      <c r="L80" s="85"/>
      <c r="M80" s="85"/>
      <c r="N80" s="85"/>
      <c r="O80" s="89"/>
      <c r="P80" s="85"/>
      <c r="Q80" s="85"/>
      <c r="R80" s="85"/>
    </row>
    <row r="81" spans="7:18" x14ac:dyDescent="0.3">
      <c r="G81" s="2"/>
      <c r="H81" s="11"/>
      <c r="K81" s="56"/>
      <c r="L81" s="85"/>
      <c r="M81" s="85"/>
      <c r="N81" s="85"/>
      <c r="O81" s="85"/>
      <c r="P81" s="85"/>
      <c r="Q81" s="85"/>
      <c r="R81" s="85"/>
    </row>
    <row r="82" spans="7:18" x14ac:dyDescent="0.3">
      <c r="G82" s="2"/>
      <c r="H82" s="11"/>
      <c r="L82" s="85"/>
      <c r="M82" s="85"/>
      <c r="N82" s="85"/>
      <c r="O82" s="85"/>
      <c r="P82" s="85"/>
      <c r="Q82" s="85"/>
      <c r="R82" s="85"/>
    </row>
    <row r="83" spans="7:18" x14ac:dyDescent="0.3">
      <c r="G83" s="2"/>
      <c r="H83" s="11"/>
    </row>
    <row r="84" spans="7:18" x14ac:dyDescent="0.3">
      <c r="G84" s="2"/>
      <c r="H84" s="11"/>
    </row>
    <row r="85" spans="7:18" x14ac:dyDescent="0.3">
      <c r="G85" s="2"/>
      <c r="H85" s="11"/>
    </row>
    <row r="86" spans="7:18" x14ac:dyDescent="0.3">
      <c r="G86" s="2"/>
      <c r="H86" s="11"/>
    </row>
    <row r="87" spans="7:18" x14ac:dyDescent="0.3">
      <c r="G87" s="2"/>
      <c r="H87" s="11"/>
    </row>
    <row r="88" spans="7:18" x14ac:dyDescent="0.3">
      <c r="G88" s="2"/>
      <c r="H88" s="11"/>
    </row>
    <row r="89" spans="7:18" x14ac:dyDescent="0.3">
      <c r="G89" s="2"/>
      <c r="H89" s="11"/>
    </row>
    <row r="90" spans="7:18" x14ac:dyDescent="0.3">
      <c r="G90" s="2"/>
      <c r="H90" s="11"/>
    </row>
    <row r="91" spans="7:18" x14ac:dyDescent="0.3">
      <c r="G91" s="2"/>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E91"/>
  <sheetViews>
    <sheetView workbookViewId="0">
      <pane xSplit="2" ySplit="3" topLeftCell="C16" activePane="bottomRight" state="frozen"/>
      <selection pane="topRight" activeCell="C1" sqref="C1"/>
      <selection pane="bottomLeft" activeCell="A4" sqref="A4"/>
      <selection pane="bottomRight" activeCell="G45" sqref="G45:O45"/>
    </sheetView>
  </sheetViews>
  <sheetFormatPr defaultRowHeight="14.4" x14ac:dyDescent="0.3"/>
  <cols>
    <col min="2" max="2" width="10.5546875" bestFit="1" customWidth="1"/>
    <col min="3" max="6" width="9" customWidth="1"/>
    <col min="15" max="15" width="11.5546875" bestFit="1" customWidth="1"/>
    <col min="16" max="17" width="12.77734375" bestFit="1" customWidth="1"/>
    <col min="18" max="18" width="12" bestFit="1" customWidth="1"/>
    <col min="19" max="19" width="12.77734375" bestFit="1" customWidth="1"/>
    <col min="20" max="20" width="11.5546875" bestFit="1" customWidth="1"/>
  </cols>
  <sheetData>
    <row r="1" spans="1:25" x14ac:dyDescent="0.3">
      <c r="C1" t="s">
        <v>152</v>
      </c>
      <c r="S1" s="73">
        <f>O56</f>
        <v>1.5760391190400247</v>
      </c>
      <c r="T1" s="73"/>
    </row>
    <row r="2" spans="1:25" x14ac:dyDescent="0.3">
      <c r="A2" t="s">
        <v>204</v>
      </c>
      <c r="B2" t="s">
        <v>150</v>
      </c>
      <c r="C2" t="s">
        <v>170</v>
      </c>
      <c r="G2" t="s">
        <v>153</v>
      </c>
      <c r="K2" t="s">
        <v>154</v>
      </c>
      <c r="O2" t="s">
        <v>172</v>
      </c>
      <c r="S2" s="73">
        <f>-O55</f>
        <v>1.3405398500377622E-3</v>
      </c>
      <c r="T2" s="73"/>
    </row>
    <row r="3" spans="1:25" x14ac:dyDescent="0.3">
      <c r="A3" t="s">
        <v>12</v>
      </c>
      <c r="B3" t="s">
        <v>151</v>
      </c>
      <c r="C3">
        <v>2</v>
      </c>
      <c r="D3">
        <v>3</v>
      </c>
      <c r="E3">
        <v>4</v>
      </c>
      <c r="F3">
        <v>5</v>
      </c>
      <c r="G3">
        <v>2</v>
      </c>
      <c r="H3">
        <v>3</v>
      </c>
      <c r="I3">
        <v>4</v>
      </c>
      <c r="J3">
        <v>5</v>
      </c>
      <c r="K3">
        <v>2</v>
      </c>
      <c r="L3">
        <v>3</v>
      </c>
      <c r="M3">
        <v>4</v>
      </c>
      <c r="N3">
        <v>5</v>
      </c>
      <c r="P3" t="s">
        <v>156</v>
      </c>
      <c r="Q3" t="s">
        <v>155</v>
      </c>
      <c r="R3" t="s">
        <v>171</v>
      </c>
      <c r="S3" t="s">
        <v>173</v>
      </c>
    </row>
    <row r="4" spans="1:25" x14ac:dyDescent="0.3">
      <c r="A4">
        <v>1979</v>
      </c>
      <c r="B4" s="1">
        <v>300</v>
      </c>
      <c r="C4" s="1"/>
      <c r="O4">
        <f>A4</f>
        <v>1979</v>
      </c>
      <c r="P4" s="2">
        <f>SUM(C4:F4,K4:N4)</f>
        <v>0</v>
      </c>
    </row>
    <row r="5" spans="1:25" x14ac:dyDescent="0.3">
      <c r="A5">
        <v>1980</v>
      </c>
      <c r="B5" s="1">
        <v>400</v>
      </c>
      <c r="C5" s="1"/>
      <c r="O5">
        <f t="shared" ref="O5:O44" si="0">A5</f>
        <v>1980</v>
      </c>
      <c r="P5" s="2">
        <f t="shared" ref="P5:P6" si="1">SUM(C5:F5,K5:N5)</f>
        <v>0</v>
      </c>
    </row>
    <row r="6" spans="1:25" x14ac:dyDescent="0.3">
      <c r="A6">
        <v>1981</v>
      </c>
      <c r="B6" s="1">
        <v>1600</v>
      </c>
      <c r="C6" s="1"/>
      <c r="O6">
        <f t="shared" si="0"/>
        <v>1981</v>
      </c>
      <c r="P6" s="2">
        <f t="shared" si="1"/>
        <v>0</v>
      </c>
    </row>
    <row r="7" spans="1:25" x14ac:dyDescent="0.3">
      <c r="A7">
        <v>1982</v>
      </c>
      <c r="B7" s="1">
        <v>1200</v>
      </c>
      <c r="C7" s="1"/>
      <c r="O7">
        <f t="shared" si="0"/>
        <v>1982</v>
      </c>
      <c r="P7" s="2"/>
    </row>
    <row r="8" spans="1:25" x14ac:dyDescent="0.3">
      <c r="A8">
        <v>1983</v>
      </c>
      <c r="B8" s="1">
        <v>1200</v>
      </c>
      <c r="C8" s="1"/>
      <c r="G8" s="9"/>
      <c r="H8" s="9"/>
      <c r="I8" s="9"/>
      <c r="J8" s="9"/>
      <c r="O8">
        <f t="shared" si="0"/>
        <v>1983</v>
      </c>
      <c r="P8" s="2"/>
    </row>
    <row r="9" spans="1:25" x14ac:dyDescent="0.3">
      <c r="A9">
        <v>1984</v>
      </c>
      <c r="B9" s="1">
        <v>2550</v>
      </c>
      <c r="C9" s="1"/>
      <c r="G9" s="9">
        <v>5.5736389999999997E-2</v>
      </c>
      <c r="H9" s="9">
        <v>0.19041469999999999</v>
      </c>
      <c r="I9" s="9">
        <v>0.48755700000000002</v>
      </c>
      <c r="J9" s="9">
        <v>0.50445640000000003</v>
      </c>
      <c r="K9" s="1">
        <f t="shared" ref="K9:N24" si="2">(G9*C9)/(1-G9)</f>
        <v>0</v>
      </c>
      <c r="L9" s="1">
        <f t="shared" si="2"/>
        <v>0</v>
      </c>
      <c r="M9" s="1">
        <f t="shared" si="2"/>
        <v>0</v>
      </c>
      <c r="N9" s="1">
        <f t="shared" si="2"/>
        <v>0</v>
      </c>
      <c r="O9">
        <f t="shared" si="0"/>
        <v>1984</v>
      </c>
      <c r="P9" s="2"/>
      <c r="V9" s="9"/>
      <c r="W9" s="9"/>
      <c r="X9" s="9"/>
      <c r="Y9" s="9"/>
    </row>
    <row r="10" spans="1:25" x14ac:dyDescent="0.3">
      <c r="A10">
        <v>1985</v>
      </c>
      <c r="B10" s="2">
        <v>1900</v>
      </c>
      <c r="C10" s="1"/>
      <c r="D10" s="1"/>
      <c r="E10" s="1"/>
      <c r="F10" s="1"/>
      <c r="G10" s="9">
        <v>0.104335</v>
      </c>
      <c r="H10" s="9">
        <v>0.31095400000000001</v>
      </c>
      <c r="I10" s="9">
        <v>0.30804219999999999</v>
      </c>
      <c r="J10" s="9">
        <v>0.50897250000000005</v>
      </c>
      <c r="K10" s="1">
        <f t="shared" si="2"/>
        <v>0</v>
      </c>
      <c r="L10" s="1">
        <f t="shared" si="2"/>
        <v>0</v>
      </c>
      <c r="M10" s="1">
        <f t="shared" si="2"/>
        <v>0</v>
      </c>
      <c r="N10" s="1">
        <f t="shared" si="2"/>
        <v>0</v>
      </c>
      <c r="O10">
        <f t="shared" si="0"/>
        <v>1985</v>
      </c>
      <c r="P10" s="2">
        <f t="shared" ref="P10:P39" si="3">SUM(F15,E14,D13,C12,K12,L13,M14,N15)</f>
        <v>245.91992612680204</v>
      </c>
      <c r="Q10" s="9">
        <f t="shared" ref="Q10:Q19" si="4">P10/B10</f>
        <v>0.1294315400667379</v>
      </c>
      <c r="R10" s="9">
        <f t="shared" ref="R10:R19" si="5">LN(Q10)</f>
        <v>-2.0446031857595335</v>
      </c>
      <c r="S10" s="74">
        <f t="shared" ref="S10:S11" si="6">B10*EXP($S$1-$S$2*B10)</f>
        <v>719.54751936041851</v>
      </c>
      <c r="T10" s="1">
        <f t="shared" ref="T10:T11" si="7">P10-S10</f>
        <v>-473.62759323361649</v>
      </c>
      <c r="V10" s="9"/>
      <c r="W10" s="9"/>
      <c r="X10" s="9"/>
      <c r="Y10" s="9"/>
    </row>
    <row r="11" spans="1:25" x14ac:dyDescent="0.3">
      <c r="A11">
        <v>1986</v>
      </c>
      <c r="B11" s="2">
        <v>1200</v>
      </c>
      <c r="C11" s="1"/>
      <c r="D11" s="1"/>
      <c r="E11" s="1"/>
      <c r="F11" s="1"/>
      <c r="G11" s="9">
        <v>4.1086009999999999E-2</v>
      </c>
      <c r="H11" s="9">
        <v>0.2045862</v>
      </c>
      <c r="I11" s="9">
        <v>0.29562169999999999</v>
      </c>
      <c r="J11" s="9">
        <v>0.38931110000000002</v>
      </c>
      <c r="K11" s="1">
        <f t="shared" si="2"/>
        <v>0</v>
      </c>
      <c r="L11" s="1">
        <f t="shared" si="2"/>
        <v>0</v>
      </c>
      <c r="M11" s="1">
        <f t="shared" si="2"/>
        <v>0</v>
      </c>
      <c r="N11" s="1">
        <f t="shared" si="2"/>
        <v>0</v>
      </c>
      <c r="O11">
        <f t="shared" si="0"/>
        <v>1986</v>
      </c>
      <c r="P11" s="2">
        <f t="shared" si="3"/>
        <v>350.96507521983415</v>
      </c>
      <c r="Q11" s="9">
        <f t="shared" si="4"/>
        <v>0.29247089601652848</v>
      </c>
      <c r="R11" s="9">
        <f t="shared" si="5"/>
        <v>-1.2293901180589519</v>
      </c>
      <c r="S11" s="74">
        <f t="shared" si="6"/>
        <v>1161.5006766440297</v>
      </c>
      <c r="T11" s="1">
        <f t="shared" si="7"/>
        <v>-810.53560142419553</v>
      </c>
      <c r="V11" s="9"/>
      <c r="W11" s="9"/>
      <c r="X11" s="9"/>
      <c r="Y11" s="9"/>
    </row>
    <row r="12" spans="1:25" x14ac:dyDescent="0.3">
      <c r="A12">
        <v>1987</v>
      </c>
      <c r="B12" s="2">
        <v>700</v>
      </c>
      <c r="C12" s="1"/>
      <c r="D12" s="1"/>
      <c r="E12" s="1"/>
      <c r="F12" s="1"/>
      <c r="G12" s="9">
        <v>3.5541059999999999E-2</v>
      </c>
      <c r="H12" s="9">
        <v>0.122976</v>
      </c>
      <c r="I12" s="9">
        <v>0.2822519</v>
      </c>
      <c r="J12" s="9">
        <v>0.43342900000000001</v>
      </c>
      <c r="K12" s="1">
        <f>(G12*C12)/(1-G12)</f>
        <v>0</v>
      </c>
      <c r="L12" s="1">
        <f t="shared" si="2"/>
        <v>0</v>
      </c>
      <c r="M12" s="1">
        <f t="shared" si="2"/>
        <v>0</v>
      </c>
      <c r="N12" s="1">
        <f t="shared" si="2"/>
        <v>0</v>
      </c>
      <c r="O12">
        <f t="shared" si="0"/>
        <v>1987</v>
      </c>
      <c r="P12" s="2">
        <f t="shared" si="3"/>
        <v>798.84551660459886</v>
      </c>
      <c r="Q12" s="9">
        <f t="shared" si="4"/>
        <v>1.1412078808637127</v>
      </c>
      <c r="R12" s="9">
        <f t="shared" si="5"/>
        <v>0.13208724610247702</v>
      </c>
      <c r="S12" s="74">
        <f>B12*EXP($S$1-$S$2*B12)</f>
        <v>1324.4354326556129</v>
      </c>
      <c r="T12" s="1">
        <f>P12-S12</f>
        <v>-525.58991605101403</v>
      </c>
      <c r="V12" s="9"/>
      <c r="W12" s="9"/>
      <c r="X12" s="9"/>
      <c r="Y12" s="9"/>
    </row>
    <row r="13" spans="1:25" x14ac:dyDescent="0.3">
      <c r="A13">
        <v>1988</v>
      </c>
      <c r="B13" s="2">
        <v>597.75990982567293</v>
      </c>
      <c r="C13" s="1"/>
      <c r="D13" s="1"/>
      <c r="E13" s="1"/>
      <c r="F13" s="1"/>
      <c r="G13" s="9">
        <v>3.9083630000000001E-2</v>
      </c>
      <c r="H13" s="9">
        <v>0.1041262</v>
      </c>
      <c r="I13" s="9">
        <v>0.26211849999999998</v>
      </c>
      <c r="J13" s="9">
        <v>0.44390420000000003</v>
      </c>
      <c r="K13" s="1">
        <f t="shared" ref="K13:N44" si="8">(G13*C13)/(1-G13)</f>
        <v>0</v>
      </c>
      <c r="L13" s="1">
        <f t="shared" si="2"/>
        <v>0</v>
      </c>
      <c r="M13" s="1">
        <f t="shared" si="2"/>
        <v>0</v>
      </c>
      <c r="N13" s="1">
        <f t="shared" si="2"/>
        <v>0</v>
      </c>
      <c r="O13">
        <f t="shared" si="0"/>
        <v>1988</v>
      </c>
      <c r="P13" s="2">
        <f t="shared" si="3"/>
        <v>731.81789147418965</v>
      </c>
      <c r="Q13" s="9">
        <f t="shared" si="4"/>
        <v>1.2242672675850954</v>
      </c>
      <c r="R13" s="9">
        <f t="shared" si="5"/>
        <v>0.20234251612413709</v>
      </c>
      <c r="S13" s="74">
        <f t="shared" ref="S13:S39" si="9">B13*EXP($S$1-$S$2*B13)</f>
        <v>1297.1272932995287</v>
      </c>
      <c r="T13" s="1">
        <f t="shared" ref="T13:T39" si="10">S13-P13</f>
        <v>565.30940182533902</v>
      </c>
      <c r="V13" s="9"/>
      <c r="W13" s="9"/>
      <c r="X13" s="9"/>
      <c r="Y13" s="9"/>
    </row>
    <row r="14" spans="1:25" x14ac:dyDescent="0.3">
      <c r="A14">
        <v>1989</v>
      </c>
      <c r="B14" s="2">
        <f t="shared" ref="B14:B43" si="11">SUM(C14:F14)</f>
        <v>519.99999999999989</v>
      </c>
      <c r="C14" s="1">
        <v>1.3958361673845809</v>
      </c>
      <c r="D14" s="1">
        <v>15.064867523030761</v>
      </c>
      <c r="E14" s="1">
        <v>27.765365276947371</v>
      </c>
      <c r="F14" s="1">
        <v>475.77393103263722</v>
      </c>
      <c r="G14" s="9">
        <v>5.4905809999999999E-2</v>
      </c>
      <c r="H14" s="9">
        <v>0.1086848</v>
      </c>
      <c r="I14" s="9">
        <v>0.2256223</v>
      </c>
      <c r="J14" s="9">
        <v>0.35944100000000001</v>
      </c>
      <c r="K14" s="1">
        <f t="shared" si="8"/>
        <v>8.1091933701915989E-2</v>
      </c>
      <c r="L14" s="1">
        <f t="shared" si="2"/>
        <v>1.8369731760067525</v>
      </c>
      <c r="M14" s="1">
        <f t="shared" si="2"/>
        <v>8.0897029629404393</v>
      </c>
      <c r="N14" s="1">
        <f t="shared" si="2"/>
        <v>266.97409222929059</v>
      </c>
      <c r="O14">
        <f t="shared" si="0"/>
        <v>1989</v>
      </c>
      <c r="P14" s="2">
        <f t="shared" si="3"/>
        <v>737.47217240826762</v>
      </c>
      <c r="Q14" s="9">
        <f t="shared" si="4"/>
        <v>1.4182157161697457</v>
      </c>
      <c r="R14" s="9">
        <f t="shared" si="5"/>
        <v>0.34939954359884717</v>
      </c>
      <c r="S14" s="74">
        <f t="shared" si="9"/>
        <v>1252.3627030108291</v>
      </c>
      <c r="T14" s="1">
        <f t="shared" si="10"/>
        <v>514.89053060256151</v>
      </c>
      <c r="V14" s="9"/>
      <c r="W14" s="9"/>
      <c r="X14" s="9"/>
      <c r="Y14" s="9"/>
    </row>
    <row r="15" spans="1:25" x14ac:dyDescent="0.3">
      <c r="A15">
        <v>1990</v>
      </c>
      <c r="B15" s="2">
        <f t="shared" si="11"/>
        <v>260</v>
      </c>
      <c r="C15" s="1">
        <v>8.9079648190092229</v>
      </c>
      <c r="D15" s="1">
        <v>31.315429866400727</v>
      </c>
      <c r="E15" s="1">
        <v>99.746259738524103</v>
      </c>
      <c r="F15" s="1">
        <v>120.03034557606597</v>
      </c>
      <c r="G15" s="9">
        <v>4.4886769999999999E-2</v>
      </c>
      <c r="H15" s="9">
        <v>0.151058</v>
      </c>
      <c r="I15" s="9">
        <v>0.2635864</v>
      </c>
      <c r="J15" s="9">
        <v>0.42860340000000002</v>
      </c>
      <c r="K15" s="1">
        <f t="shared" si="8"/>
        <v>0.41864122016083749</v>
      </c>
      <c r="L15" s="1">
        <f t="shared" si="2"/>
        <v>5.5721665375947484</v>
      </c>
      <c r="M15" s="1">
        <f t="shared" si="2"/>
        <v>35.702433412341257</v>
      </c>
      <c r="N15" s="1">
        <f t="shared" si="2"/>
        <v>90.034512310848271</v>
      </c>
      <c r="O15">
        <f t="shared" si="0"/>
        <v>1990</v>
      </c>
      <c r="P15" s="2">
        <f t="shared" si="3"/>
        <v>1147.742213798412</v>
      </c>
      <c r="Q15" s="9">
        <f t="shared" si="4"/>
        <v>4.4143931299938926</v>
      </c>
      <c r="R15" s="9">
        <f t="shared" si="5"/>
        <v>1.4848703682079023</v>
      </c>
      <c r="S15" s="74">
        <f t="shared" si="9"/>
        <v>887.29755567326833</v>
      </c>
      <c r="T15" s="1">
        <f t="shared" si="10"/>
        <v>-260.44465812514363</v>
      </c>
      <c r="V15" s="9"/>
      <c r="W15" s="9"/>
      <c r="X15" s="9"/>
      <c r="Y15" s="9"/>
    </row>
    <row r="16" spans="1:25" x14ac:dyDescent="0.3">
      <c r="A16">
        <v>1991</v>
      </c>
      <c r="B16" s="2">
        <f t="shared" si="11"/>
        <v>160</v>
      </c>
      <c r="C16" s="1">
        <v>1.5870199295796252</v>
      </c>
      <c r="D16" s="1">
        <v>9.2841610647113413</v>
      </c>
      <c r="E16" s="1">
        <v>36.54120687349706</v>
      </c>
      <c r="F16" s="1">
        <v>112.58761213221197</v>
      </c>
      <c r="G16" s="9">
        <v>4.530091E-2</v>
      </c>
      <c r="H16" s="9">
        <v>0.12982540000000001</v>
      </c>
      <c r="I16" s="9">
        <v>0.30885940000000001</v>
      </c>
      <c r="J16" s="9">
        <v>0.4331351</v>
      </c>
      <c r="K16" s="1">
        <f t="shared" si="8"/>
        <v>7.5304824055182601E-2</v>
      </c>
      <c r="L16" s="1">
        <f t="shared" si="2"/>
        <v>1.3851472151572521</v>
      </c>
      <c r="M16" s="1">
        <f t="shared" si="2"/>
        <v>16.329666105889569</v>
      </c>
      <c r="N16" s="1">
        <f t="shared" si="2"/>
        <v>86.02692923771933</v>
      </c>
      <c r="O16">
        <f t="shared" si="0"/>
        <v>1991</v>
      </c>
      <c r="P16" s="2">
        <f t="shared" si="3"/>
        <v>655.62302152566656</v>
      </c>
      <c r="Q16" s="9">
        <f t="shared" si="4"/>
        <v>4.0976438845354162</v>
      </c>
      <c r="R16" s="9">
        <f t="shared" si="5"/>
        <v>1.4104121462201571</v>
      </c>
      <c r="S16" s="74">
        <f t="shared" si="9"/>
        <v>624.3596460988648</v>
      </c>
      <c r="T16" s="1">
        <f t="shared" si="10"/>
        <v>-31.263375426801758</v>
      </c>
      <c r="V16" s="9"/>
      <c r="W16" s="9"/>
      <c r="X16" s="9"/>
      <c r="Y16" s="9"/>
    </row>
    <row r="17" spans="1:31" x14ac:dyDescent="0.3">
      <c r="A17">
        <v>1992</v>
      </c>
      <c r="B17" s="2">
        <f t="shared" si="11"/>
        <v>690</v>
      </c>
      <c r="C17" s="1">
        <v>4.7400399908531314</v>
      </c>
      <c r="D17" s="1">
        <v>58.703111079903373</v>
      </c>
      <c r="E17" s="1">
        <v>296.30430914004415</v>
      </c>
      <c r="F17" s="1">
        <v>330.25253978919926</v>
      </c>
      <c r="G17" s="9">
        <v>6.3808900000000002E-2</v>
      </c>
      <c r="H17" s="9">
        <v>0.27280599999999999</v>
      </c>
      <c r="I17" s="9">
        <v>0.35595490000000002</v>
      </c>
      <c r="J17" s="9">
        <v>0.5332846</v>
      </c>
      <c r="K17" s="1">
        <f t="shared" si="8"/>
        <v>0.32307157990750857</v>
      </c>
      <c r="L17" s="1">
        <f t="shared" si="2"/>
        <v>22.022405192100209</v>
      </c>
      <c r="M17" s="1">
        <f t="shared" si="2"/>
        <v>163.76333075046065</v>
      </c>
      <c r="N17" s="1">
        <f t="shared" si="2"/>
        <v>377.357579330931</v>
      </c>
      <c r="O17">
        <f t="shared" si="0"/>
        <v>1992</v>
      </c>
      <c r="P17" s="2">
        <f t="shared" si="3"/>
        <v>823.29005031397628</v>
      </c>
      <c r="Q17" s="9">
        <f t="shared" si="4"/>
        <v>1.1931739859622845</v>
      </c>
      <c r="R17" s="9">
        <f t="shared" si="5"/>
        <v>0.17661697151187791</v>
      </c>
      <c r="S17" s="74">
        <f t="shared" si="9"/>
        <v>1323.1337038308639</v>
      </c>
      <c r="T17" s="1">
        <f t="shared" si="10"/>
        <v>499.84365351688757</v>
      </c>
      <c r="V17" s="9"/>
      <c r="W17" s="9"/>
      <c r="X17" s="9"/>
      <c r="Y17" s="9"/>
    </row>
    <row r="18" spans="1:31" x14ac:dyDescent="0.3">
      <c r="A18">
        <v>1993</v>
      </c>
      <c r="B18" s="2">
        <f t="shared" si="11"/>
        <v>280</v>
      </c>
      <c r="C18" s="1">
        <v>1.8436492585428754</v>
      </c>
      <c r="D18" s="1">
        <v>34.132695473637426</v>
      </c>
      <c r="E18" s="1">
        <v>113.09934085744868</v>
      </c>
      <c r="F18" s="1">
        <v>130.92431441037101</v>
      </c>
      <c r="G18" s="9">
        <v>4.2496369999999999E-2</v>
      </c>
      <c r="H18" s="9">
        <v>0.11691360000000001</v>
      </c>
      <c r="I18" s="9">
        <v>0.35909419999999997</v>
      </c>
      <c r="J18" s="9">
        <v>0.47995209999999999</v>
      </c>
      <c r="K18" s="1">
        <f t="shared" si="8"/>
        <v>8.1825696098158596E-2</v>
      </c>
      <c r="L18" s="1">
        <f t="shared" si="2"/>
        <v>4.5188967982370203</v>
      </c>
      <c r="M18" s="1">
        <f t="shared" si="2"/>
        <v>63.368621918748183</v>
      </c>
      <c r="N18" s="1">
        <f t="shared" si="2"/>
        <v>120.8300228542752</v>
      </c>
      <c r="O18">
        <f t="shared" si="0"/>
        <v>1993</v>
      </c>
      <c r="P18" s="2">
        <f t="shared" si="3"/>
        <v>2978.1624858204873</v>
      </c>
      <c r="Q18" s="9">
        <f t="shared" si="4"/>
        <v>10.636294592216027</v>
      </c>
      <c r="R18" s="9">
        <f t="shared" si="5"/>
        <v>2.3642721706481997</v>
      </c>
      <c r="S18" s="74">
        <f t="shared" si="9"/>
        <v>930.27250950550422</v>
      </c>
      <c r="T18" s="1">
        <f t="shared" si="10"/>
        <v>-2047.889976314983</v>
      </c>
      <c r="V18" s="9"/>
      <c r="W18" s="9"/>
      <c r="X18" s="9"/>
      <c r="Y18" s="9"/>
    </row>
    <row r="19" spans="1:31" x14ac:dyDescent="0.3">
      <c r="A19">
        <v>1994</v>
      </c>
      <c r="B19" s="2">
        <f t="shared" si="11"/>
        <v>499.99999999999994</v>
      </c>
      <c r="C19" s="1">
        <v>8.6320596862142942</v>
      </c>
      <c r="D19" s="1">
        <v>31.933043301377328</v>
      </c>
      <c r="E19" s="1">
        <v>194.87141920202595</v>
      </c>
      <c r="F19" s="1">
        <v>264.56347781038238</v>
      </c>
      <c r="G19" s="9">
        <v>1.1828679999999999E-2</v>
      </c>
      <c r="H19" s="9">
        <v>0.29007139999999998</v>
      </c>
      <c r="I19" s="9">
        <v>0.2837211</v>
      </c>
      <c r="J19" s="9">
        <v>0.44723269999999998</v>
      </c>
      <c r="K19" s="1">
        <f t="shared" si="8"/>
        <v>0.10332810688042363</v>
      </c>
      <c r="L19" s="1">
        <f t="shared" si="2"/>
        <v>13.047597429785393</v>
      </c>
      <c r="M19" s="1">
        <f t="shared" si="2"/>
        <v>77.189392867163789</v>
      </c>
      <c r="N19" s="1">
        <f t="shared" si="2"/>
        <v>214.05289079605001</v>
      </c>
      <c r="O19">
        <f t="shared" si="0"/>
        <v>1994</v>
      </c>
      <c r="P19" s="2">
        <f t="shared" si="3"/>
        <v>4516.0145547152206</v>
      </c>
      <c r="Q19" s="9">
        <f t="shared" si="4"/>
        <v>9.032029109430443</v>
      </c>
      <c r="R19" s="9">
        <f t="shared" si="5"/>
        <v>2.2007770497640498</v>
      </c>
      <c r="S19" s="74">
        <f t="shared" si="9"/>
        <v>1236.9170248859125</v>
      </c>
      <c r="T19" s="1">
        <f t="shared" si="10"/>
        <v>-3279.0975298293079</v>
      </c>
      <c r="V19" s="9"/>
      <c r="W19" s="9"/>
      <c r="X19" s="9"/>
      <c r="Y19" s="9"/>
    </row>
    <row r="20" spans="1:31" x14ac:dyDescent="0.3">
      <c r="A20">
        <v>1995</v>
      </c>
      <c r="B20" s="2">
        <f t="shared" si="11"/>
        <v>964.99999999999989</v>
      </c>
      <c r="C20" s="1">
        <v>61.763954359437207</v>
      </c>
      <c r="D20" s="1">
        <v>74.015263895390845</v>
      </c>
      <c r="E20" s="1">
        <v>224.29014161821374</v>
      </c>
      <c r="F20" s="1">
        <v>604.93064012695811</v>
      </c>
      <c r="G20" s="9">
        <v>3.7290509999999999E-2</v>
      </c>
      <c r="H20" s="9">
        <v>4.2427980000000001E-4</v>
      </c>
      <c r="I20" s="9">
        <v>0.29553210000000002</v>
      </c>
      <c r="J20" s="9">
        <v>0.27289079999999999</v>
      </c>
      <c r="K20" s="1">
        <f t="shared" si="8"/>
        <v>2.392424071440427</v>
      </c>
      <c r="L20" s="1">
        <f t="shared" si="2"/>
        <v>3.1416510753382795E-2</v>
      </c>
      <c r="M20" s="1">
        <f t="shared" si="2"/>
        <v>94.092202869326059</v>
      </c>
      <c r="N20" s="1">
        <f t="shared" si="2"/>
        <v>227.03605775962907</v>
      </c>
      <c r="O20">
        <f t="shared" si="0"/>
        <v>1995</v>
      </c>
      <c r="P20" s="2">
        <f t="shared" si="3"/>
        <v>1074.0620850683008</v>
      </c>
      <c r="Q20" s="9">
        <f t="shared" ref="Q20:Q39" si="12">P20/B20</f>
        <v>1.1130177047339906</v>
      </c>
      <c r="R20" s="9">
        <f t="shared" ref="R20:R39" si="13">LN(Q20)</f>
        <v>0.10707497938520975</v>
      </c>
      <c r="S20" s="74">
        <f t="shared" si="9"/>
        <v>1279.911565524086</v>
      </c>
      <c r="T20" s="1">
        <f t="shared" si="10"/>
        <v>205.84948045578517</v>
      </c>
      <c r="V20" s="9"/>
      <c r="W20" s="9"/>
      <c r="X20" s="9"/>
      <c r="Y20" s="9"/>
    </row>
    <row r="21" spans="1:31" x14ac:dyDescent="0.3">
      <c r="A21">
        <v>1996</v>
      </c>
      <c r="B21" s="2">
        <f t="shared" si="11"/>
        <v>560</v>
      </c>
      <c r="C21" s="1">
        <v>9.0999386745030328</v>
      </c>
      <c r="D21" s="1">
        <v>102.52488148934462</v>
      </c>
      <c r="E21" s="1">
        <v>252.31550230201586</v>
      </c>
      <c r="F21" s="1">
        <v>196.05967753413651</v>
      </c>
      <c r="G21" s="9">
        <v>2.6912930000000002E-2</v>
      </c>
      <c r="H21" s="9">
        <v>7.7131039999999998E-2</v>
      </c>
      <c r="I21" s="9">
        <v>3.100158E-3</v>
      </c>
      <c r="J21" s="9">
        <v>0.32471119999999998</v>
      </c>
      <c r="K21" s="1">
        <f t="shared" si="8"/>
        <v>0.25167944380474905</v>
      </c>
      <c r="L21" s="1">
        <f t="shared" si="2"/>
        <v>8.5687687828940522</v>
      </c>
      <c r="M21" s="1">
        <f t="shared" si="2"/>
        <v>0.78465046339691646</v>
      </c>
      <c r="N21" s="1">
        <f t="shared" si="2"/>
        <v>94.274883818186382</v>
      </c>
      <c r="O21">
        <f t="shared" si="0"/>
        <v>1996</v>
      </c>
      <c r="P21" s="2">
        <f t="shared" si="3"/>
        <v>640.26744227276436</v>
      </c>
      <c r="Q21" s="9">
        <f t="shared" si="12"/>
        <v>1.143334718344222</v>
      </c>
      <c r="R21" s="9">
        <f t="shared" si="13"/>
        <v>0.1339491838887911</v>
      </c>
      <c r="S21" s="74">
        <f t="shared" si="9"/>
        <v>1278.2836858950718</v>
      </c>
      <c r="T21" s="1">
        <f t="shared" si="10"/>
        <v>638.01624362230746</v>
      </c>
      <c r="V21" s="9"/>
      <c r="W21" s="9"/>
      <c r="X21" s="9"/>
      <c r="Y21" s="9"/>
    </row>
    <row r="22" spans="1:31" x14ac:dyDescent="0.3">
      <c r="A22">
        <v>1997</v>
      </c>
      <c r="B22" s="2">
        <f t="shared" si="11"/>
        <v>1483</v>
      </c>
      <c r="C22" s="1">
        <v>12.075469155259555</v>
      </c>
      <c r="D22" s="1">
        <v>296.73014668595988</v>
      </c>
      <c r="E22" s="1">
        <v>856.54009252807373</v>
      </c>
      <c r="F22" s="1">
        <v>317.65429163070689</v>
      </c>
      <c r="G22" s="9">
        <v>2.961387E-2</v>
      </c>
      <c r="H22" s="9">
        <v>6.8755739999999996E-2</v>
      </c>
      <c r="I22" s="9">
        <v>0.36194460000000001</v>
      </c>
      <c r="J22" s="9">
        <v>0.34827823333333335</v>
      </c>
      <c r="K22" s="1">
        <f t="shared" si="8"/>
        <v>0.36851451468382618</v>
      </c>
      <c r="L22" s="1">
        <f t="shared" si="2"/>
        <v>21.908216449786995</v>
      </c>
      <c r="M22" s="1">
        <f t="shared" si="2"/>
        <v>485.88266970867517</v>
      </c>
      <c r="N22" s="1">
        <f t="shared" si="2"/>
        <v>169.75353771861757</v>
      </c>
      <c r="O22">
        <f t="shared" si="0"/>
        <v>1997</v>
      </c>
      <c r="P22" s="2">
        <f t="shared" si="3"/>
        <v>381.98907290002757</v>
      </c>
      <c r="Q22" s="9">
        <f t="shared" si="12"/>
        <v>0.25757860613622896</v>
      </c>
      <c r="R22" s="9">
        <f t="shared" si="13"/>
        <v>-1.3564303389142369</v>
      </c>
      <c r="S22" s="74">
        <f t="shared" si="9"/>
        <v>982.24509380452173</v>
      </c>
      <c r="T22" s="1">
        <f t="shared" si="10"/>
        <v>600.25602090449411</v>
      </c>
      <c r="V22" s="9"/>
      <c r="W22" s="9"/>
      <c r="X22" s="9"/>
      <c r="Y22" s="9"/>
    </row>
    <row r="23" spans="1:31" x14ac:dyDescent="0.3">
      <c r="A23">
        <v>1998</v>
      </c>
      <c r="B23" s="2">
        <f t="shared" si="11"/>
        <v>2554</v>
      </c>
      <c r="C23" s="1">
        <v>10.187888031764221</v>
      </c>
      <c r="D23" s="1">
        <v>172.55816745237706</v>
      </c>
      <c r="E23" s="1">
        <v>1421.4038785455482</v>
      </c>
      <c r="F23" s="1">
        <v>949.85006597031054</v>
      </c>
      <c r="G23" s="9">
        <v>1.911237E-2</v>
      </c>
      <c r="H23" s="9">
        <v>9.7367350000000005E-2</v>
      </c>
      <c r="I23" s="9">
        <v>0.2798947</v>
      </c>
      <c r="J23" s="9">
        <v>0.3496359</v>
      </c>
      <c r="K23" s="1">
        <f t="shared" si="8"/>
        <v>0.19850865647235202</v>
      </c>
      <c r="L23" s="1">
        <f t="shared" si="2"/>
        <v>18.613919500578895</v>
      </c>
      <c r="M23" s="1">
        <f t="shared" si="2"/>
        <v>552.47949454662069</v>
      </c>
      <c r="N23" s="1">
        <f t="shared" si="2"/>
        <v>510.63962891031179</v>
      </c>
      <c r="O23">
        <f t="shared" si="0"/>
        <v>1998</v>
      </c>
      <c r="P23" s="2">
        <f t="shared" si="3"/>
        <v>1396.8883671249055</v>
      </c>
      <c r="Q23" s="9">
        <f t="shared" si="12"/>
        <v>0.54694141234334592</v>
      </c>
      <c r="R23" s="9">
        <f t="shared" si="13"/>
        <v>-0.60341358952991642</v>
      </c>
      <c r="S23" s="74">
        <f t="shared" si="9"/>
        <v>402.50856600657181</v>
      </c>
      <c r="T23" s="1">
        <f t="shared" si="10"/>
        <v>-994.37980111833372</v>
      </c>
      <c r="V23" s="9"/>
      <c r="W23" s="9"/>
      <c r="X23" s="9"/>
      <c r="Y23" s="9"/>
    </row>
    <row r="24" spans="1:31" x14ac:dyDescent="0.3">
      <c r="A24">
        <v>1999</v>
      </c>
      <c r="B24" s="2">
        <f t="shared" si="11"/>
        <v>1871.0000000000002</v>
      </c>
      <c r="C24" s="1">
        <v>0.7346530310304743</v>
      </c>
      <c r="D24" s="1">
        <v>45.486044598095297</v>
      </c>
      <c r="E24" s="1">
        <v>453.04487642618813</v>
      </c>
      <c r="F24" s="1">
        <v>1371.7344259446863</v>
      </c>
      <c r="G24" s="9">
        <v>2.8004210000000002E-2</v>
      </c>
      <c r="H24" s="9">
        <v>5.5808709999999997E-2</v>
      </c>
      <c r="I24" s="9">
        <v>0.25176880000000001</v>
      </c>
      <c r="J24" s="9">
        <v>0.38046659999999999</v>
      </c>
      <c r="K24" s="1">
        <f t="shared" si="8"/>
        <v>2.1166118176410949E-2</v>
      </c>
      <c r="L24" s="1">
        <f t="shared" si="2"/>
        <v>2.6885626873577353</v>
      </c>
      <c r="M24" s="1">
        <f t="shared" si="2"/>
        <v>152.44294127800296</v>
      </c>
      <c r="N24" s="1">
        <f t="shared" si="2"/>
        <v>842.40677442431127</v>
      </c>
      <c r="O24">
        <f t="shared" si="0"/>
        <v>1999</v>
      </c>
      <c r="P24" s="2">
        <f t="shared" si="3"/>
        <v>2341.7002615048937</v>
      </c>
      <c r="Q24" s="9">
        <f t="shared" si="12"/>
        <v>1.2515768367209479</v>
      </c>
      <c r="R24" s="9">
        <f t="shared" si="13"/>
        <v>0.22440422570696889</v>
      </c>
      <c r="S24" s="74">
        <f t="shared" si="9"/>
        <v>736.65331842426735</v>
      </c>
      <c r="T24" s="1">
        <f t="shared" si="10"/>
        <v>-1605.0469430806263</v>
      </c>
      <c r="V24" s="9"/>
      <c r="W24" s="9"/>
      <c r="X24" s="9"/>
      <c r="Y24" s="9"/>
    </row>
    <row r="25" spans="1:31" x14ac:dyDescent="0.3">
      <c r="A25">
        <v>2000</v>
      </c>
      <c r="B25" s="2">
        <f t="shared" si="11"/>
        <v>571</v>
      </c>
      <c r="C25" s="1">
        <v>14.127377489073659</v>
      </c>
      <c r="D25" s="1">
        <v>50.593732658101359</v>
      </c>
      <c r="E25" s="1">
        <v>281.31955087043832</v>
      </c>
      <c r="F25" s="1">
        <v>224.95933898238661</v>
      </c>
      <c r="G25" s="9">
        <v>1.994021E-2</v>
      </c>
      <c r="H25" s="9">
        <v>6.3243380000000002E-2</v>
      </c>
      <c r="I25" s="9">
        <v>0.1523195</v>
      </c>
      <c r="J25" s="9">
        <v>0.15096290000000001</v>
      </c>
      <c r="K25" s="1">
        <f t="shared" si="8"/>
        <v>0.28743437569395791</v>
      </c>
      <c r="L25" s="1">
        <f t="shared" si="8"/>
        <v>3.4157417111337991</v>
      </c>
      <c r="M25" s="1">
        <f t="shared" si="8"/>
        <v>50.550240720188469</v>
      </c>
      <c r="N25" s="1">
        <f t="shared" si="8"/>
        <v>39.998857758823654</v>
      </c>
      <c r="O25">
        <f t="shared" si="0"/>
        <v>2000</v>
      </c>
      <c r="P25" s="2">
        <f t="shared" si="3"/>
        <v>1148.7265800337564</v>
      </c>
      <c r="Q25" s="9">
        <f t="shared" si="12"/>
        <v>2.011780350321815</v>
      </c>
      <c r="R25" s="9">
        <f t="shared" si="13"/>
        <v>0.69902007645786279</v>
      </c>
      <c r="S25" s="74">
        <f t="shared" si="9"/>
        <v>1284.314092066078</v>
      </c>
      <c r="T25" s="1">
        <f t="shared" si="10"/>
        <v>135.58751203232168</v>
      </c>
      <c r="V25" s="9"/>
      <c r="W25" s="9"/>
      <c r="X25" s="9"/>
      <c r="Y25" s="9"/>
    </row>
    <row r="26" spans="1:31" x14ac:dyDescent="0.3">
      <c r="A26">
        <v>2001</v>
      </c>
      <c r="B26" s="2">
        <f t="shared" si="11"/>
        <v>784.99999999999989</v>
      </c>
      <c r="C26" s="1">
        <v>84.284816481833303</v>
      </c>
      <c r="D26" s="1">
        <v>305.962202506403</v>
      </c>
      <c r="E26" s="1">
        <v>213.40492869376595</v>
      </c>
      <c r="F26" s="1">
        <v>181.34805231799771</v>
      </c>
      <c r="G26" s="9">
        <v>2.230451E-2</v>
      </c>
      <c r="H26" s="9">
        <v>4.8453839999999998E-2</v>
      </c>
      <c r="I26" s="9">
        <v>2.466453E-2</v>
      </c>
      <c r="J26" s="9">
        <v>0.27413349999999997</v>
      </c>
      <c r="K26" s="1">
        <f t="shared" si="8"/>
        <v>1.9228190692249338</v>
      </c>
      <c r="L26" s="1">
        <f t="shared" si="8"/>
        <v>15.579952113193173</v>
      </c>
      <c r="M26" s="1">
        <f t="shared" si="8"/>
        <v>5.3966378008535374</v>
      </c>
      <c r="N26" s="1">
        <f t="shared" si="8"/>
        <v>68.488594390450345</v>
      </c>
      <c r="O26">
        <f t="shared" si="0"/>
        <v>2001</v>
      </c>
      <c r="P26" s="2">
        <f t="shared" si="3"/>
        <v>1235.305812814483</v>
      </c>
      <c r="Q26" s="9">
        <f t="shared" si="12"/>
        <v>1.573637978107622</v>
      </c>
      <c r="R26" s="9">
        <f t="shared" si="13"/>
        <v>0.45339012233860532</v>
      </c>
      <c r="S26" s="74">
        <f t="shared" si="9"/>
        <v>1325.3065293134885</v>
      </c>
      <c r="T26" s="1">
        <f t="shared" si="10"/>
        <v>90.000716499005421</v>
      </c>
      <c r="V26" s="9"/>
      <c r="W26" s="9"/>
      <c r="X26" s="9"/>
      <c r="Y26" s="9"/>
    </row>
    <row r="27" spans="1:31" x14ac:dyDescent="0.3">
      <c r="A27">
        <v>2002</v>
      </c>
      <c r="B27" s="2">
        <f t="shared" si="11"/>
        <v>600</v>
      </c>
      <c r="C27" s="1">
        <v>26.152552600592074</v>
      </c>
      <c r="D27" s="1">
        <v>61.892316304214582</v>
      </c>
      <c r="E27" s="1">
        <v>432.64655923484827</v>
      </c>
      <c r="F27" s="1">
        <v>79.308571860345026</v>
      </c>
      <c r="G27" s="9">
        <v>2.4890539999999999E-2</v>
      </c>
      <c r="H27" s="9">
        <v>4.2395670000000003E-2</v>
      </c>
      <c r="I27" s="9">
        <v>0.24123430000000001</v>
      </c>
      <c r="J27" s="9">
        <v>0.26852100000000001</v>
      </c>
      <c r="K27" s="1">
        <f t="shared" si="8"/>
        <v>0.6675672663529908</v>
      </c>
      <c r="L27" s="1">
        <f t="shared" si="8"/>
        <v>2.7401361244566438</v>
      </c>
      <c r="M27" s="1">
        <f t="shared" si="8"/>
        <v>137.55127553133616</v>
      </c>
      <c r="N27" s="1">
        <f t="shared" si="8"/>
        <v>29.113641026621011</v>
      </c>
      <c r="O27">
        <f t="shared" si="0"/>
        <v>2002</v>
      </c>
      <c r="P27" s="2">
        <f t="shared" si="3"/>
        <v>910.46493658120153</v>
      </c>
      <c r="Q27" s="9">
        <f t="shared" si="12"/>
        <v>1.5174415609686691</v>
      </c>
      <c r="R27" s="9">
        <f t="shared" si="13"/>
        <v>0.4170257331399147</v>
      </c>
      <c r="S27" s="74">
        <f t="shared" si="9"/>
        <v>1298.0843298656814</v>
      </c>
      <c r="T27" s="1">
        <f t="shared" si="10"/>
        <v>387.61939328447988</v>
      </c>
      <c r="V27" s="9"/>
      <c r="W27" s="9"/>
      <c r="X27" s="9"/>
      <c r="Y27" s="9"/>
    </row>
    <row r="28" spans="1:31" x14ac:dyDescent="0.3">
      <c r="A28">
        <v>2003</v>
      </c>
      <c r="B28" s="2">
        <f t="shared" si="11"/>
        <v>1177.0000000000002</v>
      </c>
      <c r="C28" s="1">
        <v>25.62211087446796</v>
      </c>
      <c r="D28" s="1">
        <v>100.57666805633538</v>
      </c>
      <c r="E28" s="1">
        <v>711.41621737349124</v>
      </c>
      <c r="F28" s="1">
        <v>339.38500369570568</v>
      </c>
      <c r="G28" s="9">
        <v>2.7425809999999998E-2</v>
      </c>
      <c r="H28" s="9">
        <v>5.8330420000000001E-2</v>
      </c>
      <c r="I28" s="9">
        <v>0.17068169999999999</v>
      </c>
      <c r="J28" s="9">
        <v>0.30841289999999999</v>
      </c>
      <c r="K28" s="1">
        <f t="shared" si="8"/>
        <v>0.72252292099391624</v>
      </c>
      <c r="L28" s="1">
        <f t="shared" si="8"/>
        <v>6.2300826261443278</v>
      </c>
      <c r="M28" s="1">
        <f t="shared" si="8"/>
        <v>146.41631492863118</v>
      </c>
      <c r="N28" s="1">
        <f t="shared" si="8"/>
        <v>151.34856217865155</v>
      </c>
      <c r="O28">
        <f t="shared" si="0"/>
        <v>2003</v>
      </c>
      <c r="P28" s="2">
        <f t="shared" si="3"/>
        <v>1263.7819074947081</v>
      </c>
      <c r="Q28" s="9">
        <f t="shared" si="12"/>
        <v>1.0737314422215021</v>
      </c>
      <c r="R28" s="9">
        <f t="shared" si="13"/>
        <v>7.1139911020525345E-2</v>
      </c>
      <c r="S28" s="74">
        <f t="shared" si="9"/>
        <v>1174.9111689254498</v>
      </c>
      <c r="T28" s="1">
        <f t="shared" si="10"/>
        <v>-88.870738569258265</v>
      </c>
      <c r="V28" s="9"/>
      <c r="W28" s="9"/>
      <c r="X28" s="9"/>
      <c r="Y28" s="9"/>
    </row>
    <row r="29" spans="1:31" x14ac:dyDescent="0.3">
      <c r="A29">
        <v>2004</v>
      </c>
      <c r="B29" s="2">
        <f t="shared" si="11"/>
        <v>1250</v>
      </c>
      <c r="C29" s="1">
        <v>7.4813452686585817</v>
      </c>
      <c r="D29" s="1">
        <v>95.679290178253339</v>
      </c>
      <c r="E29" s="1">
        <v>298.05574235486796</v>
      </c>
      <c r="F29" s="1">
        <v>848.78362219821997</v>
      </c>
      <c r="G29" s="9">
        <v>2.5422279999999998E-2</v>
      </c>
      <c r="H29" s="9">
        <v>8.3009349999999996E-2</v>
      </c>
      <c r="I29" s="9">
        <v>0.25205300000000003</v>
      </c>
      <c r="J29" s="9">
        <v>0.36326629999999999</v>
      </c>
      <c r="K29" s="1">
        <f t="shared" si="8"/>
        <v>0.19515411679687658</v>
      </c>
      <c r="L29" s="1">
        <f t="shared" si="8"/>
        <v>8.6612395515245364</v>
      </c>
      <c r="M29" s="1">
        <f t="shared" si="8"/>
        <v>100.44273728990362</v>
      </c>
      <c r="N29" s="1">
        <f t="shared" si="8"/>
        <v>484.24401902482185</v>
      </c>
      <c r="O29">
        <f t="shared" si="0"/>
        <v>2004</v>
      </c>
      <c r="P29" s="2">
        <f t="shared" si="3"/>
        <v>748.79609679353439</v>
      </c>
      <c r="Q29" s="9">
        <f t="shared" si="12"/>
        <v>0.59903687743482747</v>
      </c>
      <c r="R29" s="9">
        <f t="shared" si="13"/>
        <v>-0.51243211776202258</v>
      </c>
      <c r="S29" s="74">
        <f t="shared" si="9"/>
        <v>1131.4588952928113</v>
      </c>
      <c r="T29" s="1">
        <f t="shared" si="10"/>
        <v>382.66279849927696</v>
      </c>
      <c r="V29" s="9"/>
      <c r="W29" s="9"/>
      <c r="X29" s="9"/>
      <c r="Y29" s="9"/>
    </row>
    <row r="30" spans="1:31" x14ac:dyDescent="0.3">
      <c r="A30">
        <v>2005</v>
      </c>
      <c r="B30" s="2">
        <f t="shared" si="11"/>
        <v>808</v>
      </c>
      <c r="C30" s="1">
        <v>14.07977047767336</v>
      </c>
      <c r="D30" s="1">
        <v>81.868559940892268</v>
      </c>
      <c r="E30" s="1">
        <v>336.612059789836</v>
      </c>
      <c r="F30" s="1">
        <v>375.4396097915984</v>
      </c>
      <c r="G30" s="9">
        <v>2.8622169999999999E-2</v>
      </c>
      <c r="H30" s="9">
        <v>5.7888120000000001E-2</v>
      </c>
      <c r="I30" s="9">
        <v>0.30281750000000002</v>
      </c>
      <c r="J30" s="9">
        <v>0.39111439999999997</v>
      </c>
      <c r="K30" s="1">
        <f t="shared" si="8"/>
        <v>0.41486800679087776</v>
      </c>
      <c r="L30" s="1">
        <f t="shared" si="8"/>
        <v>5.0304184913638545</v>
      </c>
      <c r="M30" s="1">
        <f t="shared" si="8"/>
        <v>146.20565263099499</v>
      </c>
      <c r="N30" s="1">
        <f t="shared" si="8"/>
        <v>241.16162004796161</v>
      </c>
      <c r="O30">
        <f t="shared" si="0"/>
        <v>2005</v>
      </c>
      <c r="P30" s="2">
        <f t="shared" si="3"/>
        <v>1005.7511529032109</v>
      </c>
      <c r="Q30" s="9">
        <f t="shared" si="12"/>
        <v>1.2447415258703105</v>
      </c>
      <c r="R30" s="9">
        <f t="shared" si="13"/>
        <v>0.21892789862006257</v>
      </c>
      <c r="S30" s="74">
        <f t="shared" si="9"/>
        <v>1322.7193085168765</v>
      </c>
      <c r="T30" s="1">
        <f t="shared" si="10"/>
        <v>316.96815561366554</v>
      </c>
      <c r="V30" s="9"/>
      <c r="W30" s="9"/>
      <c r="X30" s="9"/>
      <c r="Y30" s="9"/>
    </row>
    <row r="31" spans="1:31" x14ac:dyDescent="0.3">
      <c r="A31">
        <v>2006</v>
      </c>
      <c r="B31" s="2">
        <f t="shared" si="11"/>
        <v>840</v>
      </c>
      <c r="C31" s="1">
        <v>1.6713698228270666</v>
      </c>
      <c r="D31" s="1">
        <v>50.410172870652062</v>
      </c>
      <c r="E31" s="1">
        <v>396.7938393663627</v>
      </c>
      <c r="F31" s="1">
        <v>391.12461794015809</v>
      </c>
      <c r="G31" s="9">
        <v>2.100306E-2</v>
      </c>
      <c r="H31" s="9">
        <v>8.6884050000000004E-2</v>
      </c>
      <c r="I31" s="9">
        <v>0.24650639999999999</v>
      </c>
      <c r="J31" s="9">
        <v>0.37098300000000001</v>
      </c>
      <c r="K31" s="1">
        <f t="shared" si="8"/>
        <v>3.5856987122989632E-2</v>
      </c>
      <c r="L31" s="1">
        <f t="shared" si="8"/>
        <v>4.7965868739916084</v>
      </c>
      <c r="M31" s="1">
        <f t="shared" si="8"/>
        <v>129.81161470300523</v>
      </c>
      <c r="N31" s="1">
        <f t="shared" si="8"/>
        <v>230.67831892825424</v>
      </c>
      <c r="O31">
        <f t="shared" si="0"/>
        <v>2006</v>
      </c>
      <c r="P31" s="2">
        <f t="shared" si="3"/>
        <v>1014.4446883713277</v>
      </c>
      <c r="Q31" s="9">
        <f t="shared" si="12"/>
        <v>1.2076722480611044</v>
      </c>
      <c r="R31" s="9">
        <f t="shared" si="13"/>
        <v>0.18869474486907023</v>
      </c>
      <c r="S31" s="74">
        <f t="shared" si="9"/>
        <v>1317.36332493642</v>
      </c>
      <c r="T31" s="1">
        <f t="shared" si="10"/>
        <v>302.91863656509224</v>
      </c>
      <c r="V31" s="9"/>
      <c r="W31" s="9"/>
      <c r="X31" s="9"/>
      <c r="Y31" s="9"/>
      <c r="AD31">
        <v>1000</v>
      </c>
      <c r="AE31">
        <f>AD31</f>
        <v>1000</v>
      </c>
    </row>
    <row r="32" spans="1:31" x14ac:dyDescent="0.3">
      <c r="A32">
        <v>2007</v>
      </c>
      <c r="B32" s="2">
        <f t="shared" si="11"/>
        <v>589</v>
      </c>
      <c r="C32" s="1">
        <v>10.970404292402854</v>
      </c>
      <c r="D32" s="1">
        <v>64.990595729886735</v>
      </c>
      <c r="E32" s="1">
        <v>350.68000126196125</v>
      </c>
      <c r="F32" s="1">
        <v>162.35899871574918</v>
      </c>
      <c r="G32" s="9">
        <v>4.0839130000000001E-2</v>
      </c>
      <c r="H32" s="9">
        <v>3.9543219999999997E-2</v>
      </c>
      <c r="I32" s="9">
        <v>0.30015269999999999</v>
      </c>
      <c r="J32" s="9">
        <v>0.43875570000000003</v>
      </c>
      <c r="K32" s="1">
        <f t="shared" si="8"/>
        <v>0.46709762779417613</v>
      </c>
      <c r="L32" s="1">
        <f t="shared" si="8"/>
        <v>2.6757449979976937</v>
      </c>
      <c r="M32" s="1">
        <f t="shared" si="8"/>
        <v>150.40073629601923</v>
      </c>
      <c r="N32" s="1">
        <f t="shared" si="8"/>
        <v>126.92500597837275</v>
      </c>
      <c r="O32">
        <f t="shared" si="0"/>
        <v>2007</v>
      </c>
      <c r="P32" s="2">
        <f t="shared" si="3"/>
        <v>1354.0110738924898</v>
      </c>
      <c r="Q32" s="9">
        <f t="shared" si="12"/>
        <v>2.298830346167215</v>
      </c>
      <c r="R32" s="9">
        <f t="shared" si="13"/>
        <v>0.8324004484374764</v>
      </c>
      <c r="S32" s="74">
        <f t="shared" si="9"/>
        <v>1293.2158872769646</v>
      </c>
      <c r="T32" s="1">
        <f t="shared" si="10"/>
        <v>-60.795186615525154</v>
      </c>
      <c r="V32" s="9"/>
      <c r="W32" s="9"/>
      <c r="X32" s="9"/>
      <c r="Y32" s="9"/>
      <c r="AD32">
        <f>AD31+1000</f>
        <v>2000</v>
      </c>
      <c r="AE32">
        <f>AD32</f>
        <v>2000</v>
      </c>
    </row>
    <row r="33" spans="1:31" x14ac:dyDescent="0.3">
      <c r="A33">
        <v>2008</v>
      </c>
      <c r="B33" s="2">
        <f t="shared" si="11"/>
        <v>844</v>
      </c>
      <c r="C33" s="1">
        <v>8.5968808580789773</v>
      </c>
      <c r="D33" s="1">
        <v>72.063283505220028</v>
      </c>
      <c r="E33" s="1">
        <v>293.76429912725274</v>
      </c>
      <c r="F33" s="1">
        <v>469.57553650944828</v>
      </c>
      <c r="G33" s="9">
        <v>3.7111119999999997E-2</v>
      </c>
      <c r="H33" s="9">
        <v>8.0986810000000006E-2</v>
      </c>
      <c r="I33" s="9">
        <v>0.23125370000000001</v>
      </c>
      <c r="J33" s="9">
        <v>0.32240160000000001</v>
      </c>
      <c r="K33" s="1">
        <f t="shared" si="8"/>
        <v>0.33133613210890117</v>
      </c>
      <c r="L33" s="1">
        <f t="shared" si="8"/>
        <v>6.3504806162938632</v>
      </c>
      <c r="M33" s="1">
        <f t="shared" si="8"/>
        <v>88.369961716998148</v>
      </c>
      <c r="N33" s="1">
        <f t="shared" si="8"/>
        <v>223.42423519817132</v>
      </c>
      <c r="O33">
        <f t="shared" si="0"/>
        <v>2008</v>
      </c>
      <c r="P33" s="2">
        <f t="shared" si="3"/>
        <v>792.14376375273537</v>
      </c>
      <c r="Q33" s="9">
        <f t="shared" si="12"/>
        <v>0.93855896179234044</v>
      </c>
      <c r="R33" s="9">
        <f t="shared" si="13"/>
        <v>-6.3409599364455727E-2</v>
      </c>
      <c r="S33" s="74">
        <f t="shared" si="9"/>
        <v>1316.5579289434525</v>
      </c>
      <c r="T33" s="1">
        <f t="shared" si="10"/>
        <v>524.41416519071709</v>
      </c>
      <c r="V33" s="9"/>
      <c r="W33" s="9"/>
      <c r="X33" s="9"/>
      <c r="Y33" s="9"/>
      <c r="AD33">
        <f t="shared" ref="AD33:AD70" si="14">AD32+1000</f>
        <v>3000</v>
      </c>
      <c r="AE33">
        <f t="shared" ref="AE33:AE70" si="15">AD33</f>
        <v>3000</v>
      </c>
    </row>
    <row r="34" spans="1:31" x14ac:dyDescent="0.3">
      <c r="A34">
        <v>2009</v>
      </c>
      <c r="B34" s="2">
        <f t="shared" si="11"/>
        <v>844</v>
      </c>
      <c r="C34" s="1">
        <v>39.353010440868189</v>
      </c>
      <c r="D34" s="1">
        <v>117.22200807012297</v>
      </c>
      <c r="E34" s="1">
        <v>491.06551535553672</v>
      </c>
      <c r="F34" s="1">
        <v>196.35946613347207</v>
      </c>
      <c r="G34" s="9">
        <v>2.980928E-2</v>
      </c>
      <c r="H34" s="9">
        <v>6.6412230000000003E-2</v>
      </c>
      <c r="I34" s="9">
        <v>0.3203587</v>
      </c>
      <c r="J34" s="9">
        <v>0.33949810000000002</v>
      </c>
      <c r="K34" s="1">
        <f t="shared" si="8"/>
        <v>1.2091281465511887</v>
      </c>
      <c r="L34" s="1">
        <f t="shared" si="8"/>
        <v>8.3387713626699114</v>
      </c>
      <c r="M34" s="1">
        <f t="shared" si="8"/>
        <v>231.47079218718724</v>
      </c>
      <c r="N34" s="1">
        <f t="shared" si="8"/>
        <v>100.92880227797698</v>
      </c>
      <c r="O34">
        <f t="shared" si="0"/>
        <v>2009</v>
      </c>
      <c r="P34" s="2">
        <f t="shared" si="3"/>
        <v>660.54456644690492</v>
      </c>
      <c r="Q34" s="9">
        <f t="shared" si="12"/>
        <v>0.78263574223566934</v>
      </c>
      <c r="R34" s="9">
        <f t="shared" si="13"/>
        <v>-0.24508789910679629</v>
      </c>
      <c r="S34" s="74">
        <f t="shared" si="9"/>
        <v>1316.5579289434525</v>
      </c>
      <c r="T34" s="1">
        <f t="shared" si="10"/>
        <v>656.01336249654753</v>
      </c>
      <c r="V34" s="9"/>
      <c r="W34" s="9"/>
      <c r="X34" s="9"/>
      <c r="Y34" s="9"/>
      <c r="AD34">
        <f t="shared" si="14"/>
        <v>4000</v>
      </c>
      <c r="AE34">
        <f t="shared" si="15"/>
        <v>4000</v>
      </c>
    </row>
    <row r="35" spans="1:31" x14ac:dyDescent="0.3">
      <c r="A35">
        <v>2010</v>
      </c>
      <c r="B35" s="2">
        <f t="shared" si="11"/>
        <v>650</v>
      </c>
      <c r="C35" s="1">
        <v>10.834709522902157</v>
      </c>
      <c r="D35" s="1">
        <v>191.43368789961968</v>
      </c>
      <c r="E35" s="1">
        <v>373.56307644910146</v>
      </c>
      <c r="F35" s="1">
        <v>74.168526128376755</v>
      </c>
      <c r="G35" s="9">
        <v>2.2146989999999998E-2</v>
      </c>
      <c r="H35" s="9">
        <v>5.3677639999999999E-2</v>
      </c>
      <c r="I35" s="9">
        <v>0.39406200000000002</v>
      </c>
      <c r="J35" s="9">
        <v>0.61642969999999997</v>
      </c>
      <c r="K35" s="1">
        <f t="shared" si="8"/>
        <v>0.24539087265950005</v>
      </c>
      <c r="L35" s="1">
        <f t="shared" si="8"/>
        <v>10.858571050723286</v>
      </c>
      <c r="M35" s="1">
        <f t="shared" si="8"/>
        <v>242.94071840961587</v>
      </c>
      <c r="N35" s="1">
        <f t="shared" si="8"/>
        <v>119.19505319039935</v>
      </c>
      <c r="O35">
        <f t="shared" si="0"/>
        <v>2010</v>
      </c>
      <c r="P35" s="2">
        <f t="shared" si="3"/>
        <v>3871.556053561746</v>
      </c>
      <c r="Q35" s="9">
        <f t="shared" si="12"/>
        <v>5.9562400824026858</v>
      </c>
      <c r="R35" s="9">
        <f t="shared" si="13"/>
        <v>1.7844394233449383</v>
      </c>
      <c r="S35" s="74">
        <f t="shared" si="9"/>
        <v>1315.090257850565</v>
      </c>
      <c r="T35" s="1">
        <f t="shared" si="10"/>
        <v>-2556.4657957111813</v>
      </c>
      <c r="V35" s="9"/>
      <c r="W35" s="9"/>
      <c r="X35" s="9"/>
      <c r="Y35" s="9"/>
      <c r="AD35">
        <f t="shared" si="14"/>
        <v>5000</v>
      </c>
      <c r="AE35">
        <f t="shared" si="15"/>
        <v>5000</v>
      </c>
    </row>
    <row r="36" spans="1:31" x14ac:dyDescent="0.3">
      <c r="A36">
        <v>2011</v>
      </c>
      <c r="B36" s="2">
        <f t="shared" si="11"/>
        <v>660</v>
      </c>
      <c r="C36" s="1">
        <v>6.1948185424902897</v>
      </c>
      <c r="D36" s="1">
        <v>35.566993617516623</v>
      </c>
      <c r="E36" s="1">
        <v>532.28215889959495</v>
      </c>
      <c r="F36" s="1">
        <v>85.956028940398127</v>
      </c>
      <c r="G36" s="9">
        <v>2.973539E-2</v>
      </c>
      <c r="H36" s="9">
        <v>3.9607169999999997E-2</v>
      </c>
      <c r="I36" s="9">
        <v>0.2855086</v>
      </c>
      <c r="J36" s="9">
        <v>0.67373159999999999</v>
      </c>
      <c r="K36" s="1">
        <f t="shared" si="8"/>
        <v>0.18985062779954465</v>
      </c>
      <c r="L36" s="1">
        <f t="shared" si="8"/>
        <v>1.4668039146001286</v>
      </c>
      <c r="M36" s="1">
        <f t="shared" si="8"/>
        <v>212.69833897566983</v>
      </c>
      <c r="N36" s="1">
        <f t="shared" si="8"/>
        <v>177.49586814923154</v>
      </c>
      <c r="O36">
        <f t="shared" si="0"/>
        <v>2011</v>
      </c>
      <c r="P36" s="2">
        <f t="shared" si="3"/>
        <v>1575.6862112511906</v>
      </c>
      <c r="Q36" s="9">
        <f t="shared" si="12"/>
        <v>2.3874033503805916</v>
      </c>
      <c r="R36" s="9">
        <f t="shared" si="13"/>
        <v>0.87020631103736701</v>
      </c>
      <c r="S36" s="74">
        <f t="shared" si="9"/>
        <v>1317.5413340752989</v>
      </c>
      <c r="T36" s="1">
        <f t="shared" si="10"/>
        <v>-258.14487717589168</v>
      </c>
      <c r="V36" s="9"/>
      <c r="W36" s="9"/>
      <c r="X36" s="9"/>
      <c r="Y36" s="9"/>
      <c r="AD36">
        <f t="shared" si="14"/>
        <v>6000</v>
      </c>
      <c r="AE36">
        <f t="shared" si="15"/>
        <v>6000</v>
      </c>
    </row>
    <row r="37" spans="1:31" x14ac:dyDescent="0.3">
      <c r="A37">
        <v>2012</v>
      </c>
      <c r="B37" s="2">
        <f t="shared" si="11"/>
        <v>502.00000000000006</v>
      </c>
      <c r="C37" s="1">
        <v>24.518578399531794</v>
      </c>
      <c r="D37" s="1">
        <v>20.061067170574916</v>
      </c>
      <c r="E37" s="1">
        <v>232.89889906980318</v>
      </c>
      <c r="F37" s="1">
        <v>224.52145536009016</v>
      </c>
      <c r="G37" s="9">
        <v>2.4349464624212305E-2</v>
      </c>
      <c r="H37" s="9">
        <v>6.9017833959685693E-2</v>
      </c>
      <c r="I37" s="9">
        <v>0.23003348873348875</v>
      </c>
      <c r="J37" s="9">
        <v>0.38684854844351174</v>
      </c>
      <c r="K37" s="1">
        <f t="shared" si="8"/>
        <v>0.6119140365616933</v>
      </c>
      <c r="L37" s="1">
        <f t="shared" si="8"/>
        <v>1.4872158173789174</v>
      </c>
      <c r="M37" s="1">
        <f t="shared" si="8"/>
        <v>69.580359004304213</v>
      </c>
      <c r="N37" s="1">
        <f t="shared" si="8"/>
        <v>141.65472311937236</v>
      </c>
      <c r="O37">
        <f t="shared" si="0"/>
        <v>2012</v>
      </c>
      <c r="P37" s="2">
        <f t="shared" si="3"/>
        <v>3928.9573143326752</v>
      </c>
      <c r="Q37" s="9">
        <f t="shared" si="12"/>
        <v>7.8266081958818221</v>
      </c>
      <c r="R37" s="9">
        <f t="shared" si="13"/>
        <v>2.0575292355503141</v>
      </c>
      <c r="S37" s="74">
        <f t="shared" si="9"/>
        <v>1238.5396141592978</v>
      </c>
      <c r="T37" s="1">
        <f t="shared" si="10"/>
        <v>-2690.4177001733774</v>
      </c>
      <c r="V37" s="9"/>
      <c r="W37" s="9"/>
      <c r="X37" s="9"/>
      <c r="Y37" s="9"/>
      <c r="AD37">
        <f t="shared" si="14"/>
        <v>7000</v>
      </c>
      <c r="AE37">
        <f t="shared" si="15"/>
        <v>7000</v>
      </c>
    </row>
    <row r="38" spans="1:31" x14ac:dyDescent="0.3">
      <c r="A38">
        <v>2013</v>
      </c>
      <c r="B38" s="2">
        <f t="shared" si="11"/>
        <v>989</v>
      </c>
      <c r="C38" s="1">
        <v>13.38898916967509</v>
      </c>
      <c r="D38" s="1">
        <v>405.24007220216606</v>
      </c>
      <c r="E38" s="1">
        <v>353.46931407942242</v>
      </c>
      <c r="F38" s="1">
        <v>216.90162454873646</v>
      </c>
      <c r="G38" s="9">
        <v>2.525063E-2</v>
      </c>
      <c r="H38" s="9">
        <v>9.4009469999999998E-2</v>
      </c>
      <c r="I38" s="9">
        <v>0.31465310000000002</v>
      </c>
      <c r="J38" s="9">
        <v>0.50877289999999997</v>
      </c>
      <c r="K38" s="1">
        <f t="shared" si="8"/>
        <v>0.3468382971075662</v>
      </c>
      <c r="L38" s="1">
        <f t="shared" si="8"/>
        <v>42.049451014115313</v>
      </c>
      <c r="M38" s="1">
        <f t="shared" si="8"/>
        <v>162.28309405056609</v>
      </c>
      <c r="N38" s="1">
        <f t="shared" si="8"/>
        <v>224.64898320221306</v>
      </c>
      <c r="O38">
        <f t="shared" si="0"/>
        <v>2013</v>
      </c>
      <c r="P38" s="2">
        <f t="shared" si="3"/>
        <v>3539.0238105790427</v>
      </c>
      <c r="Q38" s="9">
        <f t="shared" si="12"/>
        <v>3.5783860572083341</v>
      </c>
      <c r="R38" s="9">
        <f t="shared" si="13"/>
        <v>1.2749118767529699</v>
      </c>
      <c r="S38" s="74">
        <f t="shared" si="9"/>
        <v>1270.2125643807369</v>
      </c>
      <c r="T38" s="1">
        <f t="shared" si="10"/>
        <v>-2268.8112461983055</v>
      </c>
      <c r="V38" s="9"/>
      <c r="W38" s="9"/>
      <c r="X38" s="9"/>
      <c r="Y38" s="9"/>
      <c r="AD38">
        <f t="shared" si="14"/>
        <v>8000</v>
      </c>
      <c r="AE38">
        <f t="shared" si="15"/>
        <v>8000</v>
      </c>
    </row>
    <row r="39" spans="1:31" x14ac:dyDescent="0.3">
      <c r="A39">
        <v>2014</v>
      </c>
      <c r="B39" s="2">
        <f t="shared" si="11"/>
        <v>936</v>
      </c>
      <c r="C39" s="1">
        <v>60.517241379310349</v>
      </c>
      <c r="D39" s="1">
        <v>106.91379310344828</v>
      </c>
      <c r="E39" s="1">
        <v>692.92241379310349</v>
      </c>
      <c r="F39" s="1">
        <v>75.646551724137936</v>
      </c>
      <c r="G39" s="9">
        <v>2.7811280000000001E-2</v>
      </c>
      <c r="H39" s="9">
        <v>7.4414549999999996E-2</v>
      </c>
      <c r="I39" s="9">
        <v>0.3265998</v>
      </c>
      <c r="J39" s="9">
        <v>0.35266930000000002</v>
      </c>
      <c r="K39" s="1">
        <f t="shared" si="8"/>
        <v>1.7312090854413393</v>
      </c>
      <c r="L39" s="1">
        <f t="shared" si="8"/>
        <v>8.5955778611107245</v>
      </c>
      <c r="M39" s="1">
        <f t="shared" si="8"/>
        <v>336.06809406998218</v>
      </c>
      <c r="N39" s="1">
        <f t="shared" si="8"/>
        <v>41.212654434534812</v>
      </c>
      <c r="O39">
        <f t="shared" si="0"/>
        <v>2014</v>
      </c>
      <c r="P39" s="2">
        <f t="shared" si="3"/>
        <v>1460.5305889920166</v>
      </c>
      <c r="Q39" s="9">
        <f t="shared" si="12"/>
        <v>1.5603959284102742</v>
      </c>
      <c r="R39" s="9">
        <f t="shared" si="13"/>
        <v>0.44493958932260363</v>
      </c>
      <c r="S39" s="74">
        <f t="shared" si="9"/>
        <v>1290.6603890779174</v>
      </c>
      <c r="T39" s="1">
        <f t="shared" si="10"/>
        <v>-169.8701999140992</v>
      </c>
      <c r="V39" s="9"/>
      <c r="W39" s="9"/>
      <c r="X39" s="9"/>
      <c r="Y39" s="9"/>
      <c r="AD39">
        <f t="shared" si="14"/>
        <v>9000</v>
      </c>
      <c r="AE39">
        <f t="shared" si="15"/>
        <v>9000</v>
      </c>
    </row>
    <row r="40" spans="1:31" x14ac:dyDescent="0.3">
      <c r="A40">
        <v>2015</v>
      </c>
      <c r="B40" s="2">
        <f t="shared" si="11"/>
        <v>2212</v>
      </c>
      <c r="C40" s="1">
        <v>13.570552147239264</v>
      </c>
      <c r="D40" s="1">
        <v>1070.3773006134968</v>
      </c>
      <c r="E40" s="1">
        <v>647.99386503067478</v>
      </c>
      <c r="F40" s="1">
        <v>480.05828220858899</v>
      </c>
      <c r="G40" s="9">
        <v>6.835865E-3</v>
      </c>
      <c r="H40" s="9">
        <v>0.104323</v>
      </c>
      <c r="I40" s="9">
        <v>0.48411999999999999</v>
      </c>
      <c r="J40" s="9">
        <v>0.79745619999999995</v>
      </c>
      <c r="K40" s="1">
        <f t="shared" si="8"/>
        <v>9.3404966193214103E-2</v>
      </c>
      <c r="L40" s="1">
        <f t="shared" si="8"/>
        <v>124.67102664454018</v>
      </c>
      <c r="M40" s="1">
        <f t="shared" si="8"/>
        <v>608.10031390759536</v>
      </c>
      <c r="N40" s="1">
        <f t="shared" si="8"/>
        <v>1890.0872478376966</v>
      </c>
      <c r="O40">
        <f t="shared" si="0"/>
        <v>2015</v>
      </c>
      <c r="P40" s="2">
        <f>SUM(F45,E44,D43,C42,K42,L43,M44,N45)</f>
        <v>2511.5040366809721</v>
      </c>
      <c r="Q40" s="9">
        <f t="shared" ref="Q40" si="16">P40/B40</f>
        <v>1.1353996549190652</v>
      </c>
      <c r="R40" s="9">
        <f t="shared" ref="R40" si="17">LN(Q40)</f>
        <v>0.12698470782548829</v>
      </c>
      <c r="S40" s="74">
        <f t="shared" ref="S40" si="18">B40*EXP($S$1-$S$2*B40)</f>
        <v>551.3761992273819</v>
      </c>
      <c r="T40" s="1">
        <f t="shared" ref="T40" si="19">S40-P40</f>
        <v>-1960.1278374535902</v>
      </c>
      <c r="V40" s="9"/>
      <c r="W40" s="9"/>
      <c r="X40" s="9"/>
      <c r="Y40" s="9"/>
      <c r="AD40">
        <f t="shared" si="14"/>
        <v>10000</v>
      </c>
      <c r="AE40">
        <f t="shared" si="15"/>
        <v>10000</v>
      </c>
    </row>
    <row r="41" spans="1:31" x14ac:dyDescent="0.3">
      <c r="A41">
        <v>2016</v>
      </c>
      <c r="B41" s="2">
        <f t="shared" si="11"/>
        <v>1145</v>
      </c>
      <c r="C41" s="1">
        <v>6.2774122807017543</v>
      </c>
      <c r="D41" s="1">
        <v>169.49013157894734</v>
      </c>
      <c r="E41" s="1">
        <v>920.26864035087715</v>
      </c>
      <c r="F41" s="1">
        <v>48.963815789473678</v>
      </c>
      <c r="G41" s="9">
        <v>6.4811640000000004E-4</v>
      </c>
      <c r="H41" s="9">
        <v>5.754447E-2</v>
      </c>
      <c r="I41" s="9">
        <v>0.40689955588079441</v>
      </c>
      <c r="J41" s="9">
        <v>0.74276527331189701</v>
      </c>
      <c r="K41" s="1">
        <f t="shared" si="8"/>
        <v>4.0711324163698317E-3</v>
      </c>
      <c r="L41" s="1">
        <f t="shared" si="8"/>
        <v>10.348732095551275</v>
      </c>
      <c r="M41" s="1">
        <f t="shared" si="8"/>
        <v>631.35494967616887</v>
      </c>
      <c r="N41" s="1">
        <f t="shared" si="8"/>
        <v>141.38301809210517</v>
      </c>
      <c r="O41">
        <f t="shared" si="0"/>
        <v>2016</v>
      </c>
      <c r="P41" s="2"/>
      <c r="V41" s="9"/>
      <c r="W41" s="9"/>
      <c r="X41" s="9"/>
      <c r="Y41" s="9"/>
      <c r="Z41" s="56"/>
      <c r="AD41">
        <f t="shared" si="14"/>
        <v>11000</v>
      </c>
      <c r="AE41">
        <f t="shared" si="15"/>
        <v>11000</v>
      </c>
    </row>
    <row r="42" spans="1:31" x14ac:dyDescent="0.3">
      <c r="A42">
        <v>2017</v>
      </c>
      <c r="B42" s="2">
        <f t="shared" si="11"/>
        <v>2440</v>
      </c>
      <c r="C42" s="1">
        <v>73.493975903614455</v>
      </c>
      <c r="D42" s="1">
        <v>238.85542168674698</v>
      </c>
      <c r="E42" s="1">
        <v>1532.3493975903616</v>
      </c>
      <c r="F42" s="1">
        <v>595.30120481927713</v>
      </c>
      <c r="G42" s="9">
        <v>1.2863884466681831E-2</v>
      </c>
      <c r="H42" s="9">
        <v>8.3217529004944571E-2</v>
      </c>
      <c r="I42" s="9">
        <v>0.39669480521137074</v>
      </c>
      <c r="J42" s="9">
        <v>0.4684986003046579</v>
      </c>
      <c r="K42" s="1">
        <f t="shared" si="8"/>
        <v>0.95773824920833295</v>
      </c>
      <c r="L42" s="1">
        <f t="shared" si="8"/>
        <v>21.681215131252589</v>
      </c>
      <c r="M42" s="1">
        <f t="shared" si="8"/>
        <v>1007.5746919531193</v>
      </c>
      <c r="N42" s="1">
        <f t="shared" si="8"/>
        <v>524.73574176356385</v>
      </c>
      <c r="O42">
        <f t="shared" si="0"/>
        <v>2017</v>
      </c>
      <c r="P42" s="2"/>
      <c r="V42" s="9"/>
      <c r="W42" s="9"/>
      <c r="X42" s="9"/>
      <c r="Y42" s="9"/>
      <c r="Z42" s="56"/>
      <c r="AD42">
        <f t="shared" si="14"/>
        <v>12000</v>
      </c>
      <c r="AE42">
        <f t="shared" si="15"/>
        <v>12000</v>
      </c>
    </row>
    <row r="43" spans="1:31" x14ac:dyDescent="0.3">
      <c r="A43">
        <v>2018</v>
      </c>
      <c r="B43" s="2">
        <f t="shared" si="11"/>
        <v>1893</v>
      </c>
      <c r="C43" s="1">
        <v>67.607142857142847</v>
      </c>
      <c r="D43" s="1">
        <v>782.93433179723502</v>
      </c>
      <c r="E43" s="1">
        <v>538.67626728110599</v>
      </c>
      <c r="F43" s="1">
        <v>503.78225806451616</v>
      </c>
      <c r="G43" s="9">
        <v>4.8495465673959485E-3</v>
      </c>
      <c r="H43" s="9">
        <v>7.9853133903889734E-2</v>
      </c>
      <c r="I43" s="9">
        <v>0.41923861832657283</v>
      </c>
      <c r="J43" s="9">
        <v>0.3746472238042875</v>
      </c>
      <c r="K43" s="1">
        <f t="shared" si="8"/>
        <v>0.32946172756430242</v>
      </c>
      <c r="L43" s="1">
        <f t="shared" si="8"/>
        <v>67.945414301315239</v>
      </c>
      <c r="M43" s="1">
        <f t="shared" si="8"/>
        <v>388.85831797135074</v>
      </c>
      <c r="N43" s="1">
        <f t="shared" si="8"/>
        <v>301.81464218311424</v>
      </c>
      <c r="O43">
        <f t="shared" si="0"/>
        <v>2018</v>
      </c>
      <c r="V43" s="9"/>
      <c r="W43" s="9"/>
      <c r="X43" s="9"/>
      <c r="Y43" s="9"/>
      <c r="Z43" s="56"/>
      <c r="AD43">
        <f t="shared" si="14"/>
        <v>13000</v>
      </c>
      <c r="AE43">
        <f t="shared" si="15"/>
        <v>13000</v>
      </c>
    </row>
    <row r="44" spans="1:31" x14ac:dyDescent="0.3">
      <c r="A44">
        <v>2019</v>
      </c>
      <c r="B44" s="2">
        <f>SUM(C44:F44)</f>
        <v>1692.9999999999998</v>
      </c>
      <c r="C44" s="1">
        <v>94.200927357032455</v>
      </c>
      <c r="D44" s="1">
        <v>457.92117465224106</v>
      </c>
      <c r="E44" s="1">
        <v>1030.9768160741885</v>
      </c>
      <c r="F44" s="1">
        <v>109.90108191653788</v>
      </c>
      <c r="G44" s="9">
        <v>2.3319049826449733E-3</v>
      </c>
      <c r="H44" s="9">
        <v>6.8433964124364227E-2</v>
      </c>
      <c r="I44" s="9">
        <v>0.29393601850478468</v>
      </c>
      <c r="J44" s="9">
        <v>0.5871141491248193</v>
      </c>
      <c r="K44" s="1">
        <f t="shared" si="8"/>
        <v>0.22018105316860906</v>
      </c>
      <c r="L44" s="1">
        <f t="shared" si="8"/>
        <v>33.63944157590749</v>
      </c>
      <c r="M44" s="1">
        <f t="shared" si="8"/>
        <v>429.19796000051338</v>
      </c>
      <c r="N44" s="1">
        <f t="shared" si="8"/>
        <v>156.2768015919043</v>
      </c>
      <c r="O44">
        <f t="shared" si="0"/>
        <v>2019</v>
      </c>
      <c r="V44" s="9"/>
      <c r="W44" s="9"/>
      <c r="X44" s="9"/>
      <c r="Y44" s="9"/>
      <c r="Z44" s="56"/>
      <c r="AD44">
        <f>AD43+1000</f>
        <v>14000</v>
      </c>
      <c r="AE44">
        <f t="shared" si="15"/>
        <v>14000</v>
      </c>
    </row>
    <row r="45" spans="1:31" x14ac:dyDescent="0.3">
      <c r="A45">
        <v>2020</v>
      </c>
      <c r="B45" s="97">
        <f>SUM(C45:F45)</f>
        <v>1227.9999999999998</v>
      </c>
      <c r="C45" s="98">
        <v>40.565734155345176</v>
      </c>
      <c r="D45" s="98">
        <v>532.84071213717084</v>
      </c>
      <c r="E45" s="94">
        <v>578.99487349454546</v>
      </c>
      <c r="F45" s="94">
        <v>75.598680212938561</v>
      </c>
      <c r="G45" s="96">
        <v>8.9999999999999993E-3</v>
      </c>
      <c r="H45" s="96">
        <v>4.5999999999999999E-2</v>
      </c>
      <c r="I45" s="96">
        <v>0.193</v>
      </c>
      <c r="J45" s="96">
        <v>0.4</v>
      </c>
      <c r="K45" s="94">
        <f>(G45*C45)/(1-G45)</f>
        <v>0.36840727285379066</v>
      </c>
      <c r="L45" s="94">
        <f t="shared" ref="L45" si="20">(H45*D45)/(1-H45)</f>
        <v>25.692529096760861</v>
      </c>
      <c r="M45" s="94">
        <f t="shared" ref="M45" si="21">(I45*E45)/(1-I45)</f>
        <v>138.4708929175307</v>
      </c>
      <c r="N45" s="94">
        <f t="shared" ref="N45" si="22">(J45*F45)/(1-J45)</f>
        <v>50.399120141959045</v>
      </c>
      <c r="O45" s="55">
        <f t="shared" ref="O45" si="23">A45</f>
        <v>2020</v>
      </c>
      <c r="Z45" s="56"/>
      <c r="AD45">
        <f t="shared" si="14"/>
        <v>15000</v>
      </c>
      <c r="AE45">
        <f t="shared" si="15"/>
        <v>15000</v>
      </c>
    </row>
    <row r="46" spans="1:31" x14ac:dyDescent="0.3">
      <c r="U46" s="56"/>
      <c r="V46" s="81"/>
      <c r="W46" s="80"/>
      <c r="X46" s="80"/>
      <c r="Y46" s="80"/>
      <c r="Z46" s="56"/>
      <c r="AD46">
        <f t="shared" si="14"/>
        <v>16000</v>
      </c>
      <c r="AE46">
        <f t="shared" si="15"/>
        <v>16000</v>
      </c>
    </row>
    <row r="47" spans="1:31" x14ac:dyDescent="0.3">
      <c r="U47" s="56"/>
      <c r="V47" s="81"/>
      <c r="W47" s="80"/>
      <c r="X47" s="80"/>
      <c r="Y47" s="80"/>
      <c r="Z47" s="56"/>
      <c r="AD47">
        <f t="shared" si="14"/>
        <v>17000</v>
      </c>
      <c r="AE47">
        <f t="shared" si="15"/>
        <v>17000</v>
      </c>
    </row>
    <row r="48" spans="1:31" x14ac:dyDescent="0.3">
      <c r="U48" s="56"/>
      <c r="V48" s="81"/>
      <c r="W48" s="80"/>
      <c r="X48" s="80"/>
      <c r="Y48" s="80"/>
      <c r="Z48" s="56"/>
      <c r="AD48">
        <f t="shared" si="14"/>
        <v>18000</v>
      </c>
      <c r="AE48">
        <f t="shared" si="15"/>
        <v>18000</v>
      </c>
    </row>
    <row r="49" spans="7:31" x14ac:dyDescent="0.3">
      <c r="U49" s="56"/>
      <c r="V49" s="81"/>
      <c r="W49" s="80"/>
      <c r="X49" s="80"/>
      <c r="Y49" s="80"/>
      <c r="Z49" s="56"/>
      <c r="AD49">
        <f t="shared" si="14"/>
        <v>19000</v>
      </c>
      <c r="AE49">
        <f t="shared" si="15"/>
        <v>19000</v>
      </c>
    </row>
    <row r="50" spans="7:31" x14ac:dyDescent="0.3">
      <c r="U50" s="56"/>
      <c r="V50" s="81"/>
      <c r="W50" s="80"/>
      <c r="X50" s="80"/>
      <c r="Y50" s="80"/>
      <c r="Z50" s="56"/>
      <c r="AD50">
        <f t="shared" si="14"/>
        <v>20000</v>
      </c>
      <c r="AE50">
        <f t="shared" si="15"/>
        <v>20000</v>
      </c>
    </row>
    <row r="51" spans="7:31" x14ac:dyDescent="0.3">
      <c r="U51" s="56"/>
      <c r="V51" s="81"/>
      <c r="W51" s="80"/>
      <c r="X51" s="80"/>
      <c r="Y51" s="80"/>
      <c r="Z51" s="56"/>
      <c r="AD51">
        <f t="shared" si="14"/>
        <v>21000</v>
      </c>
      <c r="AE51">
        <f t="shared" si="15"/>
        <v>21000</v>
      </c>
    </row>
    <row r="52" spans="7:31" x14ac:dyDescent="0.3">
      <c r="M52" s="58" t="s">
        <v>164</v>
      </c>
      <c r="N52" s="59" t="s">
        <v>165</v>
      </c>
      <c r="O52" s="59"/>
      <c r="P52" s="59"/>
      <c r="Q52" s="60"/>
      <c r="U52" s="56"/>
      <c r="V52" s="81"/>
      <c r="W52" s="80"/>
      <c r="X52" s="80"/>
      <c r="Y52" s="80"/>
      <c r="Z52" s="56"/>
      <c r="AD52">
        <f t="shared" si="14"/>
        <v>22000</v>
      </c>
      <c r="AE52">
        <f t="shared" si="15"/>
        <v>22000</v>
      </c>
    </row>
    <row r="53" spans="7:31" x14ac:dyDescent="0.3">
      <c r="M53" s="61" t="s">
        <v>168</v>
      </c>
      <c r="N53" s="62"/>
      <c r="O53" s="62"/>
      <c r="P53" s="62"/>
      <c r="Q53" s="63"/>
      <c r="U53" s="56"/>
      <c r="V53" s="81"/>
      <c r="W53" s="80"/>
      <c r="X53" s="80"/>
      <c r="Y53" s="80"/>
      <c r="Z53" s="56"/>
      <c r="AD53">
        <f t="shared" si="14"/>
        <v>23000</v>
      </c>
      <c r="AE53">
        <f t="shared" si="15"/>
        <v>23000</v>
      </c>
    </row>
    <row r="54" spans="7:31" x14ac:dyDescent="0.3">
      <c r="M54" s="61" t="s">
        <v>162</v>
      </c>
      <c r="N54" s="62"/>
      <c r="O54" s="64">
        <f>AVERAGE(Q12:Q36)</f>
        <v>2.3624554124399877</v>
      </c>
      <c r="P54" s="62"/>
      <c r="Q54" s="63"/>
      <c r="U54" s="56"/>
      <c r="V54" s="81"/>
      <c r="W54" s="80"/>
      <c r="X54" s="80"/>
      <c r="Y54" s="80"/>
      <c r="AD54">
        <f t="shared" si="14"/>
        <v>24000</v>
      </c>
      <c r="AE54">
        <f t="shared" si="15"/>
        <v>24000</v>
      </c>
    </row>
    <row r="55" spans="7:31" x14ac:dyDescent="0.3">
      <c r="M55" s="61" t="s">
        <v>157</v>
      </c>
      <c r="N55" s="65"/>
      <c r="O55" s="64">
        <f>SLOPE(R10:R39,B10:B39)</f>
        <v>-1.3405398500377622E-3</v>
      </c>
      <c r="P55" s="62"/>
      <c r="Q55" s="66">
        <f>1/-O55</f>
        <v>745.96812617829346</v>
      </c>
      <c r="U55" s="56"/>
      <c r="V55" s="81"/>
      <c r="W55" s="80"/>
      <c r="X55" s="80"/>
      <c r="Y55" s="80"/>
      <c r="AD55">
        <f t="shared" si="14"/>
        <v>25000</v>
      </c>
      <c r="AE55">
        <f t="shared" si="15"/>
        <v>25000</v>
      </c>
    </row>
    <row r="56" spans="7:31" x14ac:dyDescent="0.3">
      <c r="M56" s="61" t="s">
        <v>158</v>
      </c>
      <c r="N56" s="62" t="s">
        <v>167</v>
      </c>
      <c r="O56" s="64">
        <f>INTERCEPT(R10:R39,B10:B39)</f>
        <v>1.5760391190400247</v>
      </c>
      <c r="P56" s="62"/>
      <c r="Q56" s="63"/>
      <c r="U56" s="56"/>
      <c r="V56" s="82"/>
      <c r="W56" s="82"/>
      <c r="X56" s="82"/>
      <c r="Y56" s="82"/>
      <c r="AD56">
        <f t="shared" si="14"/>
        <v>26000</v>
      </c>
      <c r="AE56">
        <f t="shared" si="15"/>
        <v>26000</v>
      </c>
    </row>
    <row r="57" spans="7:31" x14ac:dyDescent="0.3">
      <c r="K57" s="56"/>
      <c r="L57" s="56"/>
      <c r="M57" s="61" t="s">
        <v>166</v>
      </c>
      <c r="N57" s="62"/>
      <c r="O57" s="64">
        <f>EXP(O56)</f>
        <v>4.8357639426477101</v>
      </c>
      <c r="P57" s="67" t="s">
        <v>163</v>
      </c>
      <c r="Q57" s="63"/>
      <c r="U57" s="56"/>
      <c r="V57" s="82"/>
      <c r="W57" s="82"/>
      <c r="X57" s="82"/>
      <c r="Y57" s="82"/>
      <c r="AD57">
        <f t="shared" si="14"/>
        <v>27000</v>
      </c>
      <c r="AE57">
        <f t="shared" si="15"/>
        <v>27000</v>
      </c>
    </row>
    <row r="58" spans="7:31" x14ac:dyDescent="0.3">
      <c r="K58" s="56"/>
      <c r="L58" s="56"/>
      <c r="M58" s="61" t="s">
        <v>31</v>
      </c>
      <c r="N58" s="62"/>
      <c r="O58" s="64">
        <f>0.5*O56-0.07*O56^2</f>
        <v>0.61414660818790034</v>
      </c>
      <c r="P58" s="62"/>
      <c r="Q58" s="63"/>
      <c r="S58" s="57"/>
      <c r="U58" s="56"/>
      <c r="V58" s="56"/>
      <c r="W58" s="56"/>
      <c r="X58" s="56"/>
      <c r="Y58" s="56"/>
      <c r="AD58">
        <f t="shared" si="14"/>
        <v>28000</v>
      </c>
      <c r="AE58">
        <f t="shared" si="15"/>
        <v>28000</v>
      </c>
    </row>
    <row r="59" spans="7:31" x14ac:dyDescent="0.3">
      <c r="K59" s="56"/>
      <c r="L59" s="56"/>
      <c r="M59" s="61"/>
      <c r="N59" s="62" t="s">
        <v>16</v>
      </c>
      <c r="O59" s="62">
        <f>O56/-O55</f>
        <v>1175.6749484139757</v>
      </c>
      <c r="P59" s="62"/>
      <c r="Q59" s="63"/>
      <c r="AD59">
        <f t="shared" si="14"/>
        <v>29000</v>
      </c>
      <c r="AE59">
        <f t="shared" si="15"/>
        <v>29000</v>
      </c>
    </row>
    <row r="60" spans="7:31" x14ac:dyDescent="0.3">
      <c r="K60" s="56"/>
      <c r="L60" s="56"/>
      <c r="M60" s="61"/>
      <c r="N60" s="62" t="s">
        <v>15</v>
      </c>
      <c r="O60" s="68">
        <f>O56/-O55*(0.5-(0.07*O56))</f>
        <v>458.13379450868268</v>
      </c>
      <c r="P60" s="62"/>
      <c r="Q60" s="63"/>
      <c r="AD60">
        <f t="shared" si="14"/>
        <v>30000</v>
      </c>
      <c r="AE60">
        <f t="shared" si="15"/>
        <v>30000</v>
      </c>
    </row>
    <row r="61" spans="7:31" x14ac:dyDescent="0.3">
      <c r="K61" s="56"/>
      <c r="L61" s="56"/>
      <c r="M61" s="61"/>
      <c r="N61" s="62" t="s">
        <v>169</v>
      </c>
      <c r="O61" s="69">
        <f>1/-O55</f>
        <v>745.96812617829346</v>
      </c>
      <c r="P61" s="62"/>
      <c r="Q61" s="63"/>
      <c r="AD61">
        <f t="shared" si="14"/>
        <v>31000</v>
      </c>
      <c r="AE61">
        <f t="shared" si="15"/>
        <v>31000</v>
      </c>
    </row>
    <row r="62" spans="7:31" x14ac:dyDescent="0.3">
      <c r="K62" s="56"/>
      <c r="L62" s="56"/>
      <c r="M62" s="61"/>
      <c r="N62" s="62"/>
      <c r="O62" s="69"/>
      <c r="P62" s="62"/>
      <c r="Q62" s="63"/>
      <c r="AD62">
        <f t="shared" si="14"/>
        <v>32000</v>
      </c>
      <c r="AE62">
        <f t="shared" si="15"/>
        <v>32000</v>
      </c>
    </row>
    <row r="63" spans="7:31" x14ac:dyDescent="0.3">
      <c r="G63" s="2"/>
      <c r="K63" s="56"/>
      <c r="L63" s="56"/>
      <c r="M63" s="61"/>
      <c r="N63" s="62"/>
      <c r="O63" s="69"/>
      <c r="P63" s="62"/>
      <c r="Q63" s="63"/>
      <c r="AD63">
        <f t="shared" si="14"/>
        <v>33000</v>
      </c>
      <c r="AE63">
        <f t="shared" si="15"/>
        <v>33000</v>
      </c>
    </row>
    <row r="64" spans="7:31" x14ac:dyDescent="0.3">
      <c r="G64" s="2"/>
      <c r="K64" s="56"/>
      <c r="L64" s="56"/>
      <c r="M64" s="70" t="s">
        <v>33</v>
      </c>
      <c r="N64" s="71" t="s">
        <v>159</v>
      </c>
      <c r="O64" s="72">
        <f>(O57/-O55)*EXP(-1)</f>
        <v>1327.0609872643006</v>
      </c>
      <c r="P64" s="71"/>
      <c r="Q64" s="72"/>
      <c r="R64" s="57"/>
      <c r="AD64">
        <f t="shared" si="14"/>
        <v>34000</v>
      </c>
      <c r="AE64">
        <f t="shared" si="15"/>
        <v>34000</v>
      </c>
    </row>
    <row r="65" spans="7:31" x14ac:dyDescent="0.3">
      <c r="G65" s="2"/>
      <c r="K65" s="56"/>
      <c r="L65" s="56"/>
      <c r="M65" s="56"/>
      <c r="N65" s="56"/>
      <c r="O65" s="56"/>
      <c r="P65" s="56"/>
      <c r="Q65" s="56"/>
      <c r="AD65">
        <f t="shared" si="14"/>
        <v>35000</v>
      </c>
      <c r="AE65">
        <f t="shared" si="15"/>
        <v>35000</v>
      </c>
    </row>
    <row r="66" spans="7:31" x14ac:dyDescent="0.3">
      <c r="G66" s="2"/>
      <c r="H66" s="11"/>
      <c r="K66" s="56"/>
      <c r="L66" s="56"/>
      <c r="M66" s="56"/>
      <c r="N66" s="56"/>
      <c r="O66" s="56"/>
      <c r="P66" s="56"/>
      <c r="Q66" s="56"/>
      <c r="AD66">
        <f t="shared" si="14"/>
        <v>36000</v>
      </c>
      <c r="AE66">
        <f t="shared" si="15"/>
        <v>36000</v>
      </c>
    </row>
    <row r="67" spans="7:31" x14ac:dyDescent="0.3">
      <c r="G67" s="2"/>
      <c r="H67" s="11"/>
      <c r="K67" s="56"/>
      <c r="L67" s="85"/>
      <c r="M67" s="85"/>
      <c r="N67" s="85"/>
      <c r="O67" s="85"/>
      <c r="P67" s="85"/>
      <c r="Q67" s="85"/>
      <c r="R67" s="85"/>
      <c r="AD67">
        <f t="shared" si="14"/>
        <v>37000</v>
      </c>
      <c r="AE67">
        <f t="shared" si="15"/>
        <v>37000</v>
      </c>
    </row>
    <row r="68" spans="7:31" x14ac:dyDescent="0.3">
      <c r="G68" s="2"/>
      <c r="H68" s="11"/>
      <c r="K68" s="56"/>
      <c r="L68" s="85"/>
      <c r="M68" s="85"/>
      <c r="N68" s="85"/>
      <c r="O68" s="85"/>
      <c r="P68" s="85"/>
      <c r="Q68" s="85"/>
      <c r="R68" s="85"/>
      <c r="AD68">
        <f t="shared" si="14"/>
        <v>38000</v>
      </c>
      <c r="AE68">
        <f t="shared" si="15"/>
        <v>38000</v>
      </c>
    </row>
    <row r="69" spans="7:31" x14ac:dyDescent="0.3">
      <c r="G69" s="2"/>
      <c r="H69" s="11"/>
      <c r="K69" s="56"/>
      <c r="L69" s="85"/>
      <c r="M69" s="85"/>
      <c r="N69" s="85"/>
      <c r="O69" s="85"/>
      <c r="P69" s="85"/>
      <c r="Q69" s="85"/>
      <c r="R69" s="85"/>
      <c r="AD69">
        <f t="shared" si="14"/>
        <v>39000</v>
      </c>
      <c r="AE69">
        <f t="shared" si="15"/>
        <v>39000</v>
      </c>
    </row>
    <row r="70" spans="7:31" x14ac:dyDescent="0.3">
      <c r="G70" s="2"/>
      <c r="H70" s="11"/>
      <c r="K70" s="56"/>
      <c r="L70" s="85"/>
      <c r="M70" s="85"/>
      <c r="N70" s="85"/>
      <c r="O70" s="85"/>
      <c r="P70" s="85"/>
      <c r="Q70" s="85"/>
      <c r="R70" s="85"/>
      <c r="AD70">
        <f t="shared" si="14"/>
        <v>40000</v>
      </c>
      <c r="AE70">
        <f t="shared" si="15"/>
        <v>40000</v>
      </c>
    </row>
    <row r="71" spans="7:31" x14ac:dyDescent="0.3">
      <c r="G71" s="2"/>
      <c r="H71" s="11"/>
      <c r="K71" s="56"/>
      <c r="L71" s="85"/>
      <c r="M71" s="85"/>
      <c r="N71" s="85"/>
      <c r="O71" s="86"/>
      <c r="P71" s="85"/>
      <c r="Q71" s="85"/>
      <c r="R71" s="85"/>
    </row>
    <row r="72" spans="7:31" x14ac:dyDescent="0.3">
      <c r="G72" s="2"/>
      <c r="H72" s="11"/>
      <c r="K72" s="56"/>
      <c r="L72" s="85"/>
      <c r="M72" s="85"/>
      <c r="N72" s="87"/>
      <c r="O72" s="86"/>
      <c r="P72" s="85"/>
      <c r="Q72" s="90"/>
      <c r="R72" s="85"/>
    </row>
    <row r="73" spans="7:31" x14ac:dyDescent="0.3">
      <c r="G73" s="2"/>
      <c r="H73" s="11"/>
      <c r="K73" s="56"/>
      <c r="L73" s="85"/>
      <c r="M73" s="85"/>
      <c r="N73" s="85"/>
      <c r="O73" s="86"/>
      <c r="P73" s="85"/>
      <c r="Q73" s="85"/>
      <c r="R73" s="85"/>
    </row>
    <row r="74" spans="7:31" x14ac:dyDescent="0.3">
      <c r="G74" s="2"/>
      <c r="H74" s="11"/>
      <c r="K74" s="56"/>
      <c r="L74" s="85"/>
      <c r="M74" s="85"/>
      <c r="N74" s="85"/>
      <c r="O74" s="86"/>
      <c r="P74" s="88"/>
      <c r="Q74" s="85"/>
      <c r="R74" s="85"/>
    </row>
    <row r="75" spans="7:31" x14ac:dyDescent="0.3">
      <c r="G75" s="2"/>
      <c r="H75" s="11"/>
      <c r="K75" s="56"/>
      <c r="L75" s="85"/>
      <c r="M75" s="85"/>
      <c r="N75" s="85"/>
      <c r="O75" s="86"/>
      <c r="P75" s="85"/>
      <c r="Q75" s="85"/>
      <c r="R75" s="85"/>
    </row>
    <row r="76" spans="7:31" x14ac:dyDescent="0.3">
      <c r="G76" s="2"/>
      <c r="H76" s="11"/>
      <c r="K76" s="56"/>
      <c r="L76" s="85"/>
      <c r="M76" s="85"/>
      <c r="N76" s="85"/>
      <c r="O76" s="85"/>
      <c r="P76" s="85"/>
      <c r="Q76" s="85"/>
      <c r="R76" s="85"/>
    </row>
    <row r="77" spans="7:31" x14ac:dyDescent="0.3">
      <c r="G77" s="2"/>
      <c r="H77" s="11"/>
      <c r="K77" s="56"/>
      <c r="L77" s="85"/>
      <c r="M77" s="85"/>
      <c r="N77" s="85"/>
      <c r="O77" s="89"/>
      <c r="P77" s="85"/>
      <c r="Q77" s="85"/>
      <c r="R77" s="85"/>
    </row>
    <row r="78" spans="7:31" x14ac:dyDescent="0.3">
      <c r="G78" s="2"/>
      <c r="H78" s="11"/>
      <c r="K78" s="56"/>
      <c r="L78" s="85"/>
      <c r="M78" s="85"/>
      <c r="N78" s="85"/>
      <c r="O78" s="89"/>
      <c r="P78" s="85"/>
      <c r="Q78" s="85"/>
      <c r="R78" s="85"/>
    </row>
    <row r="79" spans="7:31" x14ac:dyDescent="0.3">
      <c r="G79" s="2"/>
      <c r="H79" s="11"/>
      <c r="K79" s="56"/>
      <c r="L79" s="85"/>
      <c r="M79" s="85"/>
      <c r="N79" s="85"/>
      <c r="O79" s="89"/>
      <c r="P79" s="85"/>
      <c r="Q79" s="85"/>
      <c r="R79" s="85"/>
    </row>
    <row r="80" spans="7:31" x14ac:dyDescent="0.3">
      <c r="G80" s="2"/>
      <c r="H80" s="11"/>
      <c r="K80" s="56"/>
      <c r="L80" s="85"/>
      <c r="M80" s="85"/>
      <c r="N80" s="85"/>
      <c r="O80" s="89"/>
      <c r="P80" s="85"/>
      <c r="Q80" s="85"/>
      <c r="R80" s="85"/>
    </row>
    <row r="81" spans="7:18" x14ac:dyDescent="0.3">
      <c r="G81" s="2"/>
      <c r="H81" s="11"/>
      <c r="K81" s="56"/>
      <c r="L81" s="85"/>
      <c r="M81" s="85"/>
      <c r="N81" s="85"/>
      <c r="O81" s="85"/>
      <c r="P81" s="85"/>
      <c r="Q81" s="85"/>
      <c r="R81" s="85"/>
    </row>
    <row r="82" spans="7:18" x14ac:dyDescent="0.3">
      <c r="G82" s="2"/>
      <c r="H82" s="11"/>
      <c r="L82" s="85"/>
      <c r="M82" s="85"/>
      <c r="N82" s="85"/>
      <c r="O82" s="85"/>
      <c r="P82" s="85"/>
      <c r="Q82" s="85"/>
      <c r="R82" s="85"/>
    </row>
    <row r="83" spans="7:18" x14ac:dyDescent="0.3">
      <c r="G83" s="2"/>
      <c r="H83" s="11"/>
    </row>
    <row r="84" spans="7:18" x14ac:dyDescent="0.3">
      <c r="G84" s="2"/>
      <c r="H84" s="11"/>
    </row>
    <row r="85" spans="7:18" x14ac:dyDescent="0.3">
      <c r="G85" s="2"/>
      <c r="H85" s="11"/>
    </row>
    <row r="86" spans="7:18" x14ac:dyDescent="0.3">
      <c r="G86" s="2"/>
      <c r="H86" s="11"/>
    </row>
    <row r="87" spans="7:18" x14ac:dyDescent="0.3">
      <c r="G87" s="2"/>
      <c r="H87" s="11"/>
    </row>
    <row r="88" spans="7:18" x14ac:dyDescent="0.3">
      <c r="G88" s="2"/>
      <c r="H88" s="11"/>
    </row>
    <row r="89" spans="7:18" x14ac:dyDescent="0.3">
      <c r="G89" s="2"/>
      <c r="H89" s="11"/>
    </row>
    <row r="90" spans="7:18" x14ac:dyDescent="0.3">
      <c r="G90" s="2"/>
      <c r="H90" s="11"/>
    </row>
    <row r="91" spans="7:18" x14ac:dyDescent="0.3">
      <c r="G91" s="2"/>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E91"/>
  <sheetViews>
    <sheetView tabSelected="1" topLeftCell="A12" workbookViewId="0">
      <selection activeCell="P41" sqref="P41"/>
    </sheetView>
  </sheetViews>
  <sheetFormatPr defaultRowHeight="14.4" x14ac:dyDescent="0.3"/>
  <cols>
    <col min="2" max="2" width="10.5546875" bestFit="1" customWidth="1"/>
    <col min="3" max="6" width="9" customWidth="1"/>
    <col min="15" max="15" width="11.5546875" bestFit="1" customWidth="1"/>
    <col min="16" max="17" width="12.77734375" bestFit="1" customWidth="1"/>
    <col min="18" max="18" width="12" bestFit="1" customWidth="1"/>
    <col min="19" max="19" width="12.77734375" bestFit="1" customWidth="1"/>
    <col min="20" max="20" width="11.5546875" bestFit="1" customWidth="1"/>
  </cols>
  <sheetData>
    <row r="1" spans="1:25" x14ac:dyDescent="0.3">
      <c r="C1" t="s">
        <v>152</v>
      </c>
      <c r="S1" s="73">
        <f>O56</f>
        <v>1.4332976830081057</v>
      </c>
      <c r="T1" s="73"/>
    </row>
    <row r="2" spans="1:25" x14ac:dyDescent="0.3">
      <c r="A2" t="s">
        <v>204</v>
      </c>
      <c r="B2" t="s">
        <v>150</v>
      </c>
      <c r="C2" t="s">
        <v>170</v>
      </c>
      <c r="G2" t="s">
        <v>153</v>
      </c>
      <c r="K2" t="s">
        <v>154</v>
      </c>
      <c r="O2" t="s">
        <v>172</v>
      </c>
      <c r="S2" s="73">
        <f>-O55</f>
        <v>3.5878011234791917E-4</v>
      </c>
      <c r="T2" s="73"/>
    </row>
    <row r="3" spans="1:25" x14ac:dyDescent="0.3">
      <c r="A3" t="s">
        <v>12</v>
      </c>
      <c r="B3" t="s">
        <v>151</v>
      </c>
      <c r="C3">
        <v>2</v>
      </c>
      <c r="D3">
        <v>3</v>
      </c>
      <c r="E3">
        <v>4</v>
      </c>
      <c r="F3">
        <v>5</v>
      </c>
      <c r="G3">
        <v>2</v>
      </c>
      <c r="H3">
        <v>3</v>
      </c>
      <c r="I3">
        <v>4</v>
      </c>
      <c r="J3">
        <v>5</v>
      </c>
      <c r="K3">
        <v>2</v>
      </c>
      <c r="L3">
        <v>3</v>
      </c>
      <c r="M3">
        <v>4</v>
      </c>
      <c r="N3">
        <v>5</v>
      </c>
      <c r="P3" t="s">
        <v>156</v>
      </c>
      <c r="Q3" t="s">
        <v>155</v>
      </c>
      <c r="R3" t="s">
        <v>171</v>
      </c>
      <c r="S3" t="s">
        <v>173</v>
      </c>
    </row>
    <row r="4" spans="1:25" x14ac:dyDescent="0.3">
      <c r="A4">
        <v>1979</v>
      </c>
      <c r="B4" s="1">
        <v>780</v>
      </c>
      <c r="C4" s="1"/>
      <c r="O4">
        <f>A4</f>
        <v>1979</v>
      </c>
      <c r="P4" s="2">
        <f>SUM(C4:F4,K4:N4)</f>
        <v>0</v>
      </c>
    </row>
    <row r="5" spans="1:25" x14ac:dyDescent="0.3">
      <c r="A5">
        <v>1980</v>
      </c>
      <c r="B5" s="1">
        <v>5000</v>
      </c>
      <c r="C5" s="1"/>
      <c r="O5">
        <f t="shared" ref="O5:O44" si="0">A5</f>
        <v>1980</v>
      </c>
      <c r="P5" s="2">
        <f t="shared" ref="P5:P6" si="1">SUM(C5:F5,K5:N5)</f>
        <v>0</v>
      </c>
    </row>
    <row r="6" spans="1:25" x14ac:dyDescent="0.3">
      <c r="A6">
        <v>1981</v>
      </c>
      <c r="B6" s="1">
        <v>3006</v>
      </c>
      <c r="C6" s="1"/>
      <c r="O6">
        <f t="shared" si="0"/>
        <v>1981</v>
      </c>
      <c r="P6" s="2">
        <f t="shared" si="1"/>
        <v>0</v>
      </c>
    </row>
    <row r="7" spans="1:25" x14ac:dyDescent="0.3">
      <c r="A7">
        <v>1982</v>
      </c>
      <c r="B7" s="1">
        <v>5012</v>
      </c>
      <c r="C7" s="1"/>
      <c r="O7">
        <f t="shared" si="0"/>
        <v>1982</v>
      </c>
      <c r="P7" s="2"/>
    </row>
    <row r="8" spans="1:25" x14ac:dyDescent="0.3">
      <c r="A8">
        <v>1983</v>
      </c>
      <c r="B8" s="1">
        <v>1001</v>
      </c>
      <c r="C8" s="1"/>
      <c r="G8" s="9"/>
      <c r="H8" s="9"/>
      <c r="I8" s="9"/>
      <c r="J8" s="9"/>
      <c r="O8">
        <f t="shared" si="0"/>
        <v>1983</v>
      </c>
      <c r="P8" s="2"/>
    </row>
    <row r="9" spans="1:25" x14ac:dyDescent="0.3">
      <c r="A9">
        <v>1984</v>
      </c>
      <c r="B9" s="1">
        <v>600</v>
      </c>
      <c r="C9" s="1"/>
      <c r="G9" s="9">
        <v>5.5736389999999997E-2</v>
      </c>
      <c r="H9" s="9">
        <v>0.19041469999999999</v>
      </c>
      <c r="I9" s="9">
        <v>0.48755700000000002</v>
      </c>
      <c r="J9" s="9">
        <v>0.50445640000000003</v>
      </c>
      <c r="K9" s="1">
        <f t="shared" ref="K9:N24" si="2">(G9*C9)/(1-G9)</f>
        <v>0</v>
      </c>
      <c r="L9" s="1">
        <f t="shared" si="2"/>
        <v>0</v>
      </c>
      <c r="M9" s="1">
        <f t="shared" si="2"/>
        <v>0</v>
      </c>
      <c r="N9" s="1">
        <f t="shared" si="2"/>
        <v>0</v>
      </c>
      <c r="O9">
        <f t="shared" si="0"/>
        <v>1984</v>
      </c>
      <c r="P9" s="2"/>
      <c r="V9" s="9"/>
      <c r="W9" s="9"/>
      <c r="X9" s="9"/>
      <c r="Y9" s="9"/>
    </row>
    <row r="10" spans="1:25" x14ac:dyDescent="0.3">
      <c r="A10">
        <v>1985</v>
      </c>
      <c r="B10" s="2">
        <v>1250</v>
      </c>
      <c r="C10" s="1"/>
      <c r="D10" s="1"/>
      <c r="E10" s="1"/>
      <c r="F10" s="1"/>
      <c r="G10" s="9">
        <v>0.104335</v>
      </c>
      <c r="H10" s="9">
        <v>0.31095400000000001</v>
      </c>
      <c r="I10" s="9">
        <v>0.30804219999999999</v>
      </c>
      <c r="J10" s="9">
        <v>0.50897250000000005</v>
      </c>
      <c r="K10" s="1">
        <f t="shared" si="2"/>
        <v>0</v>
      </c>
      <c r="L10" s="1">
        <f t="shared" si="2"/>
        <v>0</v>
      </c>
      <c r="M10" s="1">
        <f t="shared" si="2"/>
        <v>0</v>
      </c>
      <c r="N10" s="1">
        <f t="shared" si="2"/>
        <v>0</v>
      </c>
      <c r="O10">
        <f t="shared" si="0"/>
        <v>1985</v>
      </c>
      <c r="P10" s="2">
        <f t="shared" ref="P10:P38" si="3">SUM(F15,E14,D13,C12,K12,L13,M14,N15)</f>
        <v>3339.8817082001024</v>
      </c>
      <c r="Q10" s="9">
        <f t="shared" ref="Q10:Q39" si="4">P10/B10</f>
        <v>2.671905366560082</v>
      </c>
      <c r="R10" s="9">
        <f t="shared" ref="R10:R39" si="5">LN(Q10)</f>
        <v>0.98279183834065686</v>
      </c>
      <c r="S10" s="74">
        <f t="shared" ref="S10:S11" si="6">B10*EXP($S$1-$S$2*B10)</f>
        <v>3346.6709112197273</v>
      </c>
      <c r="T10" s="1">
        <f t="shared" ref="T10:T11" si="7">P10-S10</f>
        <v>-6.7892030196248925</v>
      </c>
      <c r="V10" s="9"/>
      <c r="W10" s="9"/>
      <c r="X10" s="9"/>
      <c r="Y10" s="9"/>
    </row>
    <row r="11" spans="1:25" x14ac:dyDescent="0.3">
      <c r="A11">
        <v>1986</v>
      </c>
      <c r="B11" s="2">
        <v>1102</v>
      </c>
      <c r="C11" s="1"/>
      <c r="D11" s="1"/>
      <c r="E11" s="1"/>
      <c r="F11" s="1"/>
      <c r="G11" s="9">
        <v>4.1086009999999999E-2</v>
      </c>
      <c r="H11" s="9">
        <v>0.2045862</v>
      </c>
      <c r="I11" s="9">
        <v>0.29562169999999999</v>
      </c>
      <c r="J11" s="9">
        <v>0.38931110000000002</v>
      </c>
      <c r="K11" s="1">
        <f t="shared" si="2"/>
        <v>0</v>
      </c>
      <c r="L11" s="1">
        <f t="shared" si="2"/>
        <v>0</v>
      </c>
      <c r="M11" s="1">
        <f t="shared" si="2"/>
        <v>0</v>
      </c>
      <c r="N11" s="1">
        <f t="shared" si="2"/>
        <v>0</v>
      </c>
      <c r="O11">
        <f t="shared" si="0"/>
        <v>1986</v>
      </c>
      <c r="P11" s="2">
        <f t="shared" si="3"/>
        <v>2175.5430292315418</v>
      </c>
      <c r="Q11" s="9">
        <f t="shared" si="4"/>
        <v>1.9741769775240852</v>
      </c>
      <c r="R11" s="9">
        <f t="shared" si="5"/>
        <v>0.68015159126010649</v>
      </c>
      <c r="S11" s="74">
        <f t="shared" si="6"/>
        <v>3111.3250916459765</v>
      </c>
      <c r="T11" s="1">
        <f t="shared" si="7"/>
        <v>-935.78206241443468</v>
      </c>
      <c r="V11" s="9"/>
      <c r="W11" s="9"/>
      <c r="X11" s="9"/>
      <c r="Y11" s="9"/>
    </row>
    <row r="12" spans="1:25" x14ac:dyDescent="0.3">
      <c r="A12">
        <v>1987</v>
      </c>
      <c r="B12" s="2">
        <v>1752</v>
      </c>
      <c r="C12" s="1"/>
      <c r="D12" s="1"/>
      <c r="E12" s="1"/>
      <c r="F12" s="1"/>
      <c r="G12" s="9">
        <v>3.5541059999999999E-2</v>
      </c>
      <c r="H12" s="9">
        <v>0.122976</v>
      </c>
      <c r="I12" s="9">
        <v>0.2822519</v>
      </c>
      <c r="J12" s="9">
        <v>0.43342900000000001</v>
      </c>
      <c r="K12" s="1">
        <f>(G12*C12)/(1-G12)</f>
        <v>0</v>
      </c>
      <c r="L12" s="1">
        <f t="shared" si="2"/>
        <v>0</v>
      </c>
      <c r="M12" s="1">
        <f t="shared" si="2"/>
        <v>0</v>
      </c>
      <c r="N12" s="1">
        <f t="shared" si="2"/>
        <v>0</v>
      </c>
      <c r="O12">
        <f t="shared" si="0"/>
        <v>1987</v>
      </c>
      <c r="P12" s="2">
        <f t="shared" si="3"/>
        <v>877.07760832756924</v>
      </c>
      <c r="Q12" s="9">
        <f t="shared" si="4"/>
        <v>0.50061507324632948</v>
      </c>
      <c r="R12" s="9">
        <f t="shared" si="5"/>
        <v>-0.69191779007754428</v>
      </c>
      <c r="S12" s="74">
        <f>B12*EXP($S$1-$S$2*B12)</f>
        <v>3917.5753085528322</v>
      </c>
      <c r="T12" s="1">
        <f>P12-S12</f>
        <v>-3040.4977002252631</v>
      </c>
      <c r="V12" s="9"/>
      <c r="W12" s="9"/>
      <c r="X12" s="9"/>
      <c r="Y12" s="9"/>
    </row>
    <row r="13" spans="1:25" x14ac:dyDescent="0.3">
      <c r="A13">
        <v>1988</v>
      </c>
      <c r="B13" s="2">
        <v>3275</v>
      </c>
      <c r="C13" s="1"/>
      <c r="D13" s="1"/>
      <c r="E13" s="1"/>
      <c r="F13" s="1"/>
      <c r="G13" s="9">
        <v>3.9083630000000001E-2</v>
      </c>
      <c r="H13" s="9">
        <v>0.1041262</v>
      </c>
      <c r="I13" s="9">
        <v>0.26211849999999998</v>
      </c>
      <c r="J13" s="9">
        <v>0.44390420000000003</v>
      </c>
      <c r="K13" s="1">
        <f t="shared" ref="K13:N45" si="8">(G13*C13)/(1-G13)</f>
        <v>0</v>
      </c>
      <c r="L13" s="1">
        <f t="shared" si="2"/>
        <v>0</v>
      </c>
      <c r="M13" s="1">
        <f t="shared" si="2"/>
        <v>0</v>
      </c>
      <c r="N13" s="1">
        <f t="shared" si="2"/>
        <v>0</v>
      </c>
      <c r="O13">
        <f t="shared" si="0"/>
        <v>1988</v>
      </c>
      <c r="P13" s="2">
        <f t="shared" si="3"/>
        <v>2999.3203012105864</v>
      </c>
      <c r="Q13" s="9">
        <f t="shared" si="4"/>
        <v>0.91582299273605694</v>
      </c>
      <c r="R13" s="9">
        <f t="shared" si="5"/>
        <v>-8.793217235225656E-2</v>
      </c>
      <c r="S13" s="74">
        <f t="shared" ref="S13:S39" si="9">B13*EXP($S$1-$S$2*B13)</f>
        <v>4240.2010439931655</v>
      </c>
      <c r="T13" s="1">
        <f t="shared" ref="T13:T39" si="10">S13-P13</f>
        <v>1240.8807427825791</v>
      </c>
      <c r="V13" s="9"/>
      <c r="W13" s="9"/>
      <c r="X13" s="9"/>
      <c r="Y13" s="9"/>
    </row>
    <row r="14" spans="1:25" x14ac:dyDescent="0.3">
      <c r="A14">
        <v>1989</v>
      </c>
      <c r="B14" s="2">
        <f t="shared" ref="B14:B43" si="11">SUM(C14:F14)</f>
        <v>4181</v>
      </c>
      <c r="C14" s="1">
        <v>92.150025289115263</v>
      </c>
      <c r="D14" s="1">
        <v>735.84201892771694</v>
      </c>
      <c r="E14" s="1">
        <v>1096.1185361471728</v>
      </c>
      <c r="F14" s="1">
        <v>2256.8894196359947</v>
      </c>
      <c r="G14" s="9">
        <v>5.4905809999999999E-2</v>
      </c>
      <c r="H14" s="9">
        <v>0.1086848</v>
      </c>
      <c r="I14" s="9">
        <v>0.2256223</v>
      </c>
      <c r="J14" s="9">
        <v>0.35944100000000001</v>
      </c>
      <c r="K14" s="1">
        <f t="shared" si="8"/>
        <v>5.353510616777104</v>
      </c>
      <c r="L14" s="1">
        <f t="shared" si="2"/>
        <v>89.726779773031055</v>
      </c>
      <c r="M14" s="1">
        <f t="shared" si="2"/>
        <v>319.36454936416459</v>
      </c>
      <c r="N14" s="1">
        <f t="shared" si="2"/>
        <v>1266.4229054363168</v>
      </c>
      <c r="O14">
        <f t="shared" si="0"/>
        <v>1989</v>
      </c>
      <c r="P14" s="2">
        <f t="shared" si="3"/>
        <v>2481.5359155009442</v>
      </c>
      <c r="Q14" s="9">
        <f t="shared" si="4"/>
        <v>0.59352688722816171</v>
      </c>
      <c r="R14" s="9">
        <f t="shared" si="5"/>
        <v>-0.5216727631309882</v>
      </c>
      <c r="S14" s="74">
        <f t="shared" si="9"/>
        <v>3910.9819698720435</v>
      </c>
      <c r="T14" s="1">
        <f t="shared" si="10"/>
        <v>1429.4460543710993</v>
      </c>
      <c r="V14" s="9"/>
      <c r="W14" s="9"/>
      <c r="X14" s="9"/>
      <c r="Y14" s="9"/>
    </row>
    <row r="15" spans="1:25" x14ac:dyDescent="0.3">
      <c r="A15">
        <v>1990</v>
      </c>
      <c r="B15" s="2">
        <f t="shared" si="11"/>
        <v>1973</v>
      </c>
      <c r="C15" s="1">
        <v>61.528256039040855</v>
      </c>
      <c r="D15" s="1">
        <v>193.76529316648771</v>
      </c>
      <c r="E15" s="1">
        <v>618.11162074542858</v>
      </c>
      <c r="F15" s="1">
        <v>1099.5948300490429</v>
      </c>
      <c r="G15" s="9">
        <v>4.4886769999999999E-2</v>
      </c>
      <c r="H15" s="9">
        <v>0.151058</v>
      </c>
      <c r="I15" s="9">
        <v>0.2635864</v>
      </c>
      <c r="J15" s="9">
        <v>0.42860340000000002</v>
      </c>
      <c r="K15" s="1">
        <f t="shared" si="8"/>
        <v>2.8915992267487884</v>
      </c>
      <c r="L15" s="1">
        <f t="shared" si="2"/>
        <v>34.477970998187509</v>
      </c>
      <c r="M15" s="1">
        <f t="shared" si="2"/>
        <v>221.24227052630863</v>
      </c>
      <c r="N15" s="1">
        <f t="shared" si="2"/>
        <v>824.80379263972179</v>
      </c>
      <c r="O15">
        <f t="shared" si="0"/>
        <v>1990</v>
      </c>
      <c r="P15" s="2">
        <f t="shared" si="3"/>
        <v>1973.6555615947761</v>
      </c>
      <c r="Q15" s="9">
        <f t="shared" si="4"/>
        <v>1.0003322663937031</v>
      </c>
      <c r="R15" s="9">
        <f t="shared" si="5"/>
        <v>3.3221120544936635E-4</v>
      </c>
      <c r="S15" s="74">
        <f t="shared" si="9"/>
        <v>4075.4442061094214</v>
      </c>
      <c r="T15" s="1">
        <f t="shared" si="10"/>
        <v>2101.7886445146451</v>
      </c>
      <c r="V15" s="9"/>
      <c r="W15" s="9"/>
      <c r="X15" s="9"/>
      <c r="Y15" s="9"/>
    </row>
    <row r="16" spans="1:25" x14ac:dyDescent="0.3">
      <c r="A16">
        <v>1991</v>
      </c>
      <c r="B16" s="2">
        <f t="shared" si="11"/>
        <v>719.00000000000011</v>
      </c>
      <c r="C16" s="1">
        <v>31.692640249849525</v>
      </c>
      <c r="D16" s="1">
        <v>229.31587053697308</v>
      </c>
      <c r="E16" s="1">
        <v>168.53874166112607</v>
      </c>
      <c r="F16" s="1">
        <v>289.45274755205139</v>
      </c>
      <c r="G16" s="9">
        <v>4.530091E-2</v>
      </c>
      <c r="H16" s="9">
        <v>0.12982540000000001</v>
      </c>
      <c r="I16" s="9">
        <v>0.30885940000000001</v>
      </c>
      <c r="J16" s="9">
        <v>0.4331351</v>
      </c>
      <c r="K16" s="1">
        <f t="shared" si="8"/>
        <v>1.5038303258682386</v>
      </c>
      <c r="L16" s="1">
        <f t="shared" si="2"/>
        <v>34.212702391923123</v>
      </c>
      <c r="M16" s="1">
        <f t="shared" si="2"/>
        <v>75.317199750977451</v>
      </c>
      <c r="N16" s="1">
        <f t="shared" si="2"/>
        <v>221.16759170700556</v>
      </c>
      <c r="O16">
        <f t="shared" si="0"/>
        <v>1991</v>
      </c>
      <c r="P16" s="2">
        <f t="shared" si="3"/>
        <v>2590.3468012057751</v>
      </c>
      <c r="Q16" s="9">
        <f t="shared" si="4"/>
        <v>3.602707651190229</v>
      </c>
      <c r="R16" s="9">
        <f t="shared" si="5"/>
        <v>1.2816856880881708</v>
      </c>
      <c r="S16" s="74">
        <f t="shared" si="9"/>
        <v>2329.0043553893183</v>
      </c>
      <c r="T16" s="1">
        <f t="shared" si="10"/>
        <v>-261.3424458164568</v>
      </c>
      <c r="V16" s="9"/>
      <c r="W16" s="9"/>
      <c r="X16" s="9"/>
      <c r="Y16" s="9"/>
    </row>
    <row r="17" spans="1:31" x14ac:dyDescent="0.3">
      <c r="A17">
        <v>1992</v>
      </c>
      <c r="B17" s="2">
        <f t="shared" si="11"/>
        <v>800</v>
      </c>
      <c r="C17" s="1">
        <v>6.553972483260738</v>
      </c>
      <c r="D17" s="1">
        <v>285.77179295165035</v>
      </c>
      <c r="E17" s="1">
        <v>364.17097909562563</v>
      </c>
      <c r="F17" s="1">
        <v>143.50325546946328</v>
      </c>
      <c r="G17" s="9">
        <v>6.3808900000000002E-2</v>
      </c>
      <c r="H17" s="9">
        <v>0.27280599999999999</v>
      </c>
      <c r="I17" s="9">
        <v>0.35595490000000002</v>
      </c>
      <c r="J17" s="9">
        <v>0.5332846</v>
      </c>
      <c r="K17" s="1">
        <f t="shared" si="8"/>
        <v>0.44670556554867491</v>
      </c>
      <c r="L17" s="1">
        <f t="shared" si="2"/>
        <v>107.20696230712564</v>
      </c>
      <c r="M17" s="1">
        <f t="shared" si="2"/>
        <v>201.27230910829925</v>
      </c>
      <c r="N17" s="1">
        <f t="shared" si="2"/>
        <v>163.97161137543466</v>
      </c>
      <c r="O17">
        <f t="shared" si="0"/>
        <v>1992</v>
      </c>
      <c r="P17" s="2">
        <f t="shared" si="3"/>
        <v>1456.8218262862895</v>
      </c>
      <c r="Q17" s="9">
        <f t="shared" si="4"/>
        <v>1.8210272828578618</v>
      </c>
      <c r="R17" s="9">
        <f t="shared" si="5"/>
        <v>0.59940078298241939</v>
      </c>
      <c r="S17" s="74">
        <f t="shared" si="9"/>
        <v>2517.156878580945</v>
      </c>
      <c r="T17" s="1">
        <f t="shared" si="10"/>
        <v>1060.3350522946555</v>
      </c>
      <c r="V17" s="9"/>
      <c r="W17" s="9"/>
      <c r="X17" s="9"/>
      <c r="Y17" s="9"/>
    </row>
    <row r="18" spans="1:31" x14ac:dyDescent="0.3">
      <c r="A18">
        <v>1993</v>
      </c>
      <c r="B18" s="2">
        <f t="shared" si="11"/>
        <v>2100</v>
      </c>
      <c r="C18" s="1">
        <v>6.0021065345734161</v>
      </c>
      <c r="D18" s="1">
        <v>126.53984234274687</v>
      </c>
      <c r="E18" s="1">
        <v>872.27431304123991</v>
      </c>
      <c r="F18" s="1">
        <v>1095.18373808144</v>
      </c>
      <c r="G18" s="9">
        <v>4.2496369999999999E-2</v>
      </c>
      <c r="H18" s="9">
        <v>0.11691360000000001</v>
      </c>
      <c r="I18" s="9">
        <v>0.35909419999999997</v>
      </c>
      <c r="J18" s="9">
        <v>0.47995209999999999</v>
      </c>
      <c r="K18" s="1">
        <f t="shared" si="8"/>
        <v>0.266388274760535</v>
      </c>
      <c r="L18" s="1">
        <f t="shared" si="2"/>
        <v>16.752866437217207</v>
      </c>
      <c r="M18" s="1">
        <f t="shared" si="2"/>
        <v>488.72805741825641</v>
      </c>
      <c r="N18" s="1">
        <f t="shared" si="2"/>
        <v>1010.7448467305358</v>
      </c>
      <c r="O18">
        <f t="shared" si="0"/>
        <v>1993</v>
      </c>
      <c r="P18" s="2">
        <f t="shared" si="3"/>
        <v>6931.6501166916287</v>
      </c>
      <c r="Q18" s="9">
        <f t="shared" si="4"/>
        <v>3.3007857698531566</v>
      </c>
      <c r="R18" s="9">
        <f t="shared" si="5"/>
        <v>1.1941605522049674</v>
      </c>
      <c r="S18" s="74">
        <f t="shared" si="9"/>
        <v>4144.5606666295917</v>
      </c>
      <c r="T18" s="1">
        <f t="shared" si="10"/>
        <v>-2787.089450062037</v>
      </c>
      <c r="V18" s="9"/>
      <c r="W18" s="9"/>
      <c r="X18" s="9"/>
      <c r="Y18" s="9"/>
    </row>
    <row r="19" spans="1:31" x14ac:dyDescent="0.3">
      <c r="A19">
        <v>1994</v>
      </c>
      <c r="B19" s="2">
        <f t="shared" si="11"/>
        <v>674</v>
      </c>
      <c r="C19" s="1">
        <v>10.564954166169185</v>
      </c>
      <c r="D19" s="1">
        <v>41.204025041765398</v>
      </c>
      <c r="E19" s="1">
        <v>238.4124474514993</v>
      </c>
      <c r="F19" s="1">
        <v>383.81857334056616</v>
      </c>
      <c r="G19" s="9">
        <v>1.1828679999999999E-2</v>
      </c>
      <c r="H19" s="9">
        <v>0.29007139999999998</v>
      </c>
      <c r="I19" s="9">
        <v>0.2837211</v>
      </c>
      <c r="J19" s="9">
        <v>0.44723269999999998</v>
      </c>
      <c r="K19" s="1">
        <f t="shared" si="8"/>
        <v>0.12646538056405252</v>
      </c>
      <c r="L19" s="1">
        <f t="shared" si="2"/>
        <v>16.835649711111717</v>
      </c>
      <c r="M19" s="1">
        <f t="shared" si="2"/>
        <v>94.436178204651256</v>
      </c>
      <c r="N19" s="1">
        <f t="shared" si="2"/>
        <v>310.53974586638793</v>
      </c>
      <c r="O19">
        <f t="shared" si="0"/>
        <v>1994</v>
      </c>
      <c r="P19" s="2">
        <f t="shared" si="3"/>
        <v>11981.505236410781</v>
      </c>
      <c r="Q19" s="9">
        <f t="shared" si="4"/>
        <v>17.776714000609466</v>
      </c>
      <c r="R19" s="9">
        <f t="shared" si="5"/>
        <v>2.8778893986415572</v>
      </c>
      <c r="S19" s="74">
        <f t="shared" si="9"/>
        <v>2218.7738405395653</v>
      </c>
      <c r="T19" s="1">
        <f t="shared" si="10"/>
        <v>-9762.7313958712166</v>
      </c>
      <c r="V19" s="9"/>
      <c r="W19" s="9"/>
      <c r="X19" s="9"/>
      <c r="Y19" s="9"/>
    </row>
    <row r="20" spans="1:31" x14ac:dyDescent="0.3">
      <c r="A20">
        <v>1995</v>
      </c>
      <c r="B20" s="2">
        <f t="shared" si="11"/>
        <v>1701</v>
      </c>
      <c r="C20" s="1">
        <v>173.28960377981716</v>
      </c>
      <c r="D20" s="1">
        <v>110.14763041054699</v>
      </c>
      <c r="E20" s="1">
        <v>333.79665152721054</v>
      </c>
      <c r="F20" s="1">
        <v>1083.7661142824254</v>
      </c>
      <c r="G20" s="9">
        <v>3.7290509999999999E-2</v>
      </c>
      <c r="H20" s="9">
        <v>4.2427980000000001E-4</v>
      </c>
      <c r="I20" s="9">
        <v>0.29553210000000002</v>
      </c>
      <c r="J20" s="9">
        <v>0.27289079999999999</v>
      </c>
      <c r="K20" s="1">
        <f t="shared" si="8"/>
        <v>6.7123652252013315</v>
      </c>
      <c r="L20" s="1">
        <f t="shared" si="2"/>
        <v>4.6753251061070339E-2</v>
      </c>
      <c r="M20" s="1">
        <f t="shared" si="2"/>
        <v>140.03139873201425</v>
      </c>
      <c r="N20" s="1">
        <f t="shared" si="2"/>
        <v>406.74743482742684</v>
      </c>
      <c r="O20">
        <f t="shared" si="0"/>
        <v>1995</v>
      </c>
      <c r="P20" s="2">
        <f t="shared" si="3"/>
        <v>2996.6950091986992</v>
      </c>
      <c r="Q20" s="9">
        <f t="shared" si="4"/>
        <v>1.7617254610221629</v>
      </c>
      <c r="R20" s="9">
        <f t="shared" si="5"/>
        <v>0.5662937043765558</v>
      </c>
      <c r="S20" s="74">
        <f t="shared" si="9"/>
        <v>3873.7732239686393</v>
      </c>
      <c r="T20" s="1">
        <f t="shared" si="10"/>
        <v>877.07821476994013</v>
      </c>
      <c r="V20" s="9"/>
      <c r="W20" s="9"/>
      <c r="X20" s="9"/>
      <c r="Y20" s="9"/>
    </row>
    <row r="21" spans="1:31" x14ac:dyDescent="0.3">
      <c r="A21">
        <v>1996</v>
      </c>
      <c r="B21" s="2">
        <f t="shared" si="11"/>
        <v>4041.0000000000009</v>
      </c>
      <c r="C21" s="1">
        <v>404.68587578065848</v>
      </c>
      <c r="D21" s="1">
        <v>1275.3094002758121</v>
      </c>
      <c r="E21" s="1">
        <v>975.16990309319738</v>
      </c>
      <c r="F21" s="1">
        <v>1385.8348208503328</v>
      </c>
      <c r="G21" s="9">
        <v>2.6912930000000002E-2</v>
      </c>
      <c r="H21" s="9">
        <v>7.7131039999999998E-2</v>
      </c>
      <c r="I21" s="9">
        <v>3.100158E-3</v>
      </c>
      <c r="J21" s="9">
        <v>0.32471119999999998</v>
      </c>
      <c r="K21" s="1">
        <f t="shared" si="8"/>
        <v>11.192505771218968</v>
      </c>
      <c r="L21" s="1">
        <f t="shared" si="2"/>
        <v>106.58711542866246</v>
      </c>
      <c r="M21" s="1">
        <f t="shared" si="2"/>
        <v>3.0325822605894248</v>
      </c>
      <c r="N21" s="1">
        <f t="shared" si="2"/>
        <v>666.37576053400642</v>
      </c>
      <c r="O21">
        <f t="shared" si="0"/>
        <v>1996</v>
      </c>
      <c r="P21" s="2">
        <f t="shared" si="3"/>
        <v>2391.2024580322177</v>
      </c>
      <c r="Q21" s="9">
        <f t="shared" si="4"/>
        <v>0.59173532740218193</v>
      </c>
      <c r="R21" s="9">
        <f t="shared" si="5"/>
        <v>-0.52469582616003618</v>
      </c>
      <c r="S21" s="74">
        <f t="shared" si="9"/>
        <v>3974.7403893038859</v>
      </c>
      <c r="T21" s="1">
        <f t="shared" si="10"/>
        <v>1583.5379312716682</v>
      </c>
      <c r="V21" s="9"/>
      <c r="W21" s="9"/>
      <c r="X21" s="9"/>
      <c r="Y21" s="9"/>
    </row>
    <row r="22" spans="1:31" x14ac:dyDescent="0.3">
      <c r="A22">
        <v>1997</v>
      </c>
      <c r="B22" s="2">
        <f t="shared" si="11"/>
        <v>2674</v>
      </c>
      <c r="C22" s="1">
        <v>21.460720124140124</v>
      </c>
      <c r="D22" s="1">
        <v>788.7262828954822</v>
      </c>
      <c r="E22" s="1">
        <v>1630.6702637788708</v>
      </c>
      <c r="F22" s="1">
        <v>233.1427332015071</v>
      </c>
      <c r="G22" s="9">
        <v>2.961387E-2</v>
      </c>
      <c r="H22" s="9">
        <v>6.8755739999999996E-2</v>
      </c>
      <c r="I22" s="9">
        <v>0.36194460000000001</v>
      </c>
      <c r="J22" s="9">
        <v>0.34827823333333335</v>
      </c>
      <c r="K22" s="1">
        <f t="shared" si="8"/>
        <v>0.6549299873676776</v>
      </c>
      <c r="L22" s="1">
        <f t="shared" si="2"/>
        <v>58.233335299084921</v>
      </c>
      <c r="M22" s="1">
        <f t="shared" si="2"/>
        <v>925.01732036957583</v>
      </c>
      <c r="N22" s="1">
        <f t="shared" si="2"/>
        <v>124.5908045226543</v>
      </c>
      <c r="O22">
        <f t="shared" si="0"/>
        <v>1997</v>
      </c>
      <c r="P22" s="2">
        <f t="shared" si="3"/>
        <v>1373.9242844865887</v>
      </c>
      <c r="Q22" s="9">
        <f t="shared" si="4"/>
        <v>0.51380863294188062</v>
      </c>
      <c r="R22" s="9">
        <f t="shared" si="5"/>
        <v>-0.66590439230293719</v>
      </c>
      <c r="S22" s="74">
        <f t="shared" si="9"/>
        <v>4295.187205233753</v>
      </c>
      <c r="T22" s="1">
        <f t="shared" si="10"/>
        <v>2921.2629207471646</v>
      </c>
      <c r="V22" s="9"/>
      <c r="W22" s="9"/>
      <c r="X22" s="9"/>
      <c r="Y22" s="9"/>
    </row>
    <row r="23" spans="1:31" x14ac:dyDescent="0.3">
      <c r="A23">
        <v>1998</v>
      </c>
      <c r="B23" s="2">
        <f t="shared" si="11"/>
        <v>5468</v>
      </c>
      <c r="C23" s="1">
        <v>15.994515569271597</v>
      </c>
      <c r="D23" s="1">
        <v>239.81540373978649</v>
      </c>
      <c r="E23" s="1">
        <v>3382.0238488792274</v>
      </c>
      <c r="F23" s="1">
        <v>1830.1662318117142</v>
      </c>
      <c r="G23" s="9">
        <v>1.911237E-2</v>
      </c>
      <c r="H23" s="9">
        <v>9.7367350000000005E-2</v>
      </c>
      <c r="I23" s="9">
        <v>0.2798947</v>
      </c>
      <c r="J23" s="9">
        <v>0.3496359</v>
      </c>
      <c r="K23" s="1">
        <f t="shared" si="8"/>
        <v>0.31164945930725968</v>
      </c>
      <c r="L23" s="1">
        <f t="shared" si="2"/>
        <v>25.868984853719947</v>
      </c>
      <c r="M23" s="1">
        <f t="shared" si="2"/>
        <v>1314.5446236472594</v>
      </c>
      <c r="N23" s="1">
        <f t="shared" si="2"/>
        <v>983.8978160219749</v>
      </c>
      <c r="O23">
        <f t="shared" si="0"/>
        <v>1998</v>
      </c>
      <c r="P23" s="2">
        <f t="shared" si="3"/>
        <v>5124.9758385134946</v>
      </c>
      <c r="Q23" s="9">
        <f t="shared" si="4"/>
        <v>0.93726697851380658</v>
      </c>
      <c r="R23" s="9">
        <f t="shared" si="5"/>
        <v>-6.4787108284735578E-2</v>
      </c>
      <c r="S23" s="74">
        <f t="shared" si="9"/>
        <v>3223.2847476041798</v>
      </c>
      <c r="T23" s="1">
        <f t="shared" si="10"/>
        <v>-1901.6910909093149</v>
      </c>
      <c r="V23" s="9"/>
      <c r="W23" s="9"/>
      <c r="X23" s="9"/>
      <c r="Y23" s="9"/>
    </row>
    <row r="24" spans="1:31" x14ac:dyDescent="0.3">
      <c r="A24">
        <v>1999</v>
      </c>
      <c r="B24" s="2">
        <f t="shared" si="11"/>
        <v>5068</v>
      </c>
      <c r="C24" s="1">
        <v>8.066211457133015</v>
      </c>
      <c r="D24" s="1">
        <v>259.7156829425121</v>
      </c>
      <c r="E24" s="1">
        <v>1069.3267831182354</v>
      </c>
      <c r="F24" s="1">
        <v>3730.8913224821199</v>
      </c>
      <c r="G24" s="9">
        <v>2.8004210000000002E-2</v>
      </c>
      <c r="H24" s="9">
        <v>5.5808709999999997E-2</v>
      </c>
      <c r="I24" s="9">
        <v>0.25176880000000001</v>
      </c>
      <c r="J24" s="9">
        <v>0.38046659999999999</v>
      </c>
      <c r="K24" s="1">
        <f t="shared" si="8"/>
        <v>0.23239594437951108</v>
      </c>
      <c r="L24" s="1">
        <f t="shared" si="2"/>
        <v>15.351123639141601</v>
      </c>
      <c r="M24" s="1">
        <f t="shared" si="2"/>
        <v>359.81274369945874</v>
      </c>
      <c r="N24" s="1">
        <f t="shared" si="2"/>
        <v>2291.2074416557293</v>
      </c>
      <c r="O24">
        <f t="shared" si="0"/>
        <v>1999</v>
      </c>
      <c r="P24" s="2">
        <f t="shared" si="3"/>
        <v>6012.1442956540095</v>
      </c>
      <c r="Q24" s="9">
        <f t="shared" si="4"/>
        <v>1.186295243814919</v>
      </c>
      <c r="R24" s="9">
        <f t="shared" si="5"/>
        <v>0.1708352104169315</v>
      </c>
      <c r="S24" s="74">
        <f t="shared" si="9"/>
        <v>3448.5240781957073</v>
      </c>
      <c r="T24" s="1">
        <f t="shared" si="10"/>
        <v>-2563.6202174583022</v>
      </c>
      <c r="V24" s="9"/>
      <c r="W24" s="9"/>
      <c r="X24" s="9"/>
      <c r="Y24" s="9"/>
    </row>
    <row r="25" spans="1:31" x14ac:dyDescent="0.3">
      <c r="A25">
        <v>2000</v>
      </c>
      <c r="B25" s="2">
        <f t="shared" si="11"/>
        <v>3102</v>
      </c>
      <c r="C25" s="1">
        <v>253.76182660229466</v>
      </c>
      <c r="D25" s="1">
        <v>511.15133128074285</v>
      </c>
      <c r="E25" s="1">
        <v>1250.5269915090869</v>
      </c>
      <c r="F25" s="1">
        <v>1086.5598506078759</v>
      </c>
      <c r="G25" s="9">
        <v>1.994021E-2</v>
      </c>
      <c r="H25" s="9">
        <v>6.3243380000000002E-2</v>
      </c>
      <c r="I25" s="9">
        <v>0.1523195</v>
      </c>
      <c r="J25" s="9">
        <v>0.15096290000000001</v>
      </c>
      <c r="K25" s="1">
        <f t="shared" si="8"/>
        <v>5.1630157303294144</v>
      </c>
      <c r="L25" s="1">
        <f t="shared" si="8"/>
        <v>34.509430935960623</v>
      </c>
      <c r="M25" s="1">
        <f t="shared" si="8"/>
        <v>224.70688671400171</v>
      </c>
      <c r="N25" s="1">
        <f t="shared" si="8"/>
        <v>193.19559306811414</v>
      </c>
      <c r="O25">
        <f t="shared" si="0"/>
        <v>2000</v>
      </c>
      <c r="P25" s="2">
        <f t="shared" si="3"/>
        <v>3733.8660307415093</v>
      </c>
      <c r="Q25" s="9">
        <f t="shared" si="4"/>
        <v>1.2036963348618663</v>
      </c>
      <c r="R25" s="9">
        <f t="shared" si="5"/>
        <v>0.18539710150555949</v>
      </c>
      <c r="S25" s="74">
        <f t="shared" si="9"/>
        <v>4273.3960510915849</v>
      </c>
      <c r="T25" s="1">
        <f t="shared" si="10"/>
        <v>539.53002035007557</v>
      </c>
      <c r="V25" s="9"/>
      <c r="W25" s="9"/>
      <c r="X25" s="9"/>
      <c r="Y25" s="9"/>
    </row>
    <row r="26" spans="1:31" x14ac:dyDescent="0.3">
      <c r="A26">
        <v>2001</v>
      </c>
      <c r="B26" s="2">
        <f t="shared" si="11"/>
        <v>2020.9999999999998</v>
      </c>
      <c r="C26" s="1">
        <v>173.87122901099318</v>
      </c>
      <c r="D26" s="1">
        <v>881.19426726453253</v>
      </c>
      <c r="E26" s="1">
        <v>512.56147568577001</v>
      </c>
      <c r="F26" s="1">
        <v>453.37302803870421</v>
      </c>
      <c r="G26" s="9">
        <v>2.230451E-2</v>
      </c>
      <c r="H26" s="9">
        <v>4.8453839999999998E-2</v>
      </c>
      <c r="I26" s="9">
        <v>2.466453E-2</v>
      </c>
      <c r="J26" s="9">
        <v>0.27413349999999997</v>
      </c>
      <c r="K26" s="1">
        <f t="shared" si="8"/>
        <v>3.9665853078528444</v>
      </c>
      <c r="L26" s="1">
        <f t="shared" si="8"/>
        <v>44.871439589386704</v>
      </c>
      <c r="M26" s="1">
        <f t="shared" si="8"/>
        <v>12.961784209381769</v>
      </c>
      <c r="N26" s="1">
        <f t="shared" si="8"/>
        <v>171.22258016019214</v>
      </c>
      <c r="O26">
        <f t="shared" si="0"/>
        <v>2001</v>
      </c>
      <c r="P26" s="2">
        <f t="shared" si="3"/>
        <v>4038.8487345808098</v>
      </c>
      <c r="Q26" s="9">
        <f t="shared" si="4"/>
        <v>1.9984407395253885</v>
      </c>
      <c r="R26" s="9">
        <f t="shared" si="5"/>
        <v>0.69236724625293455</v>
      </c>
      <c r="S26" s="74">
        <f t="shared" si="9"/>
        <v>4103.3163572473268</v>
      </c>
      <c r="T26" s="1">
        <f t="shared" si="10"/>
        <v>64.467622666516945</v>
      </c>
      <c r="V26" s="9"/>
      <c r="W26" s="9"/>
      <c r="X26" s="9"/>
      <c r="Y26" s="9"/>
    </row>
    <row r="27" spans="1:31" x14ac:dyDescent="0.3">
      <c r="A27">
        <v>2002</v>
      </c>
      <c r="B27" s="2">
        <f t="shared" si="11"/>
        <v>2868.0000000000005</v>
      </c>
      <c r="C27" s="1">
        <v>52.618680867948122</v>
      </c>
      <c r="D27" s="1">
        <v>399.31320162049792</v>
      </c>
      <c r="E27" s="1">
        <v>2200.6902301733976</v>
      </c>
      <c r="F27" s="1">
        <v>215.37788733815668</v>
      </c>
      <c r="G27" s="9">
        <v>2.4890539999999999E-2</v>
      </c>
      <c r="H27" s="9">
        <v>4.2395670000000003E-2</v>
      </c>
      <c r="I27" s="9">
        <v>0.24123430000000001</v>
      </c>
      <c r="J27" s="9">
        <v>0.26852100000000001</v>
      </c>
      <c r="K27" s="1">
        <f t="shared" si="8"/>
        <v>1.3431388317070552</v>
      </c>
      <c r="L27" s="1">
        <f t="shared" si="8"/>
        <v>17.678648886796594</v>
      </c>
      <c r="M27" s="1">
        <f t="shared" si="8"/>
        <v>699.66521574804767</v>
      </c>
      <c r="N27" s="1">
        <f t="shared" si="8"/>
        <v>79.063767635064266</v>
      </c>
      <c r="O27">
        <f t="shared" si="0"/>
        <v>2002</v>
      </c>
      <c r="P27" s="2">
        <f t="shared" si="3"/>
        <v>4070.3464369637768</v>
      </c>
      <c r="Q27" s="9">
        <f t="shared" si="4"/>
        <v>1.4192281858311633</v>
      </c>
      <c r="R27" s="9">
        <f t="shared" si="5"/>
        <v>0.3501131927417776</v>
      </c>
      <c r="S27" s="74">
        <f t="shared" si="9"/>
        <v>4297.060754590073</v>
      </c>
      <c r="T27" s="1">
        <f t="shared" si="10"/>
        <v>226.71431762629618</v>
      </c>
      <c r="V27" s="9"/>
      <c r="W27" s="9"/>
      <c r="X27" s="9"/>
      <c r="Y27" s="9"/>
    </row>
    <row r="28" spans="1:31" x14ac:dyDescent="0.3">
      <c r="A28">
        <v>2003</v>
      </c>
      <c r="B28" s="2">
        <f t="shared" si="11"/>
        <v>2349</v>
      </c>
      <c r="C28" s="1">
        <v>43.928410243559142</v>
      </c>
      <c r="D28" s="1">
        <v>216.30730618845652</v>
      </c>
      <c r="E28" s="1">
        <v>1369.7696950937161</v>
      </c>
      <c r="F28" s="1">
        <v>718.99458847426808</v>
      </c>
      <c r="G28" s="9">
        <v>2.7425809999999998E-2</v>
      </c>
      <c r="H28" s="9">
        <v>5.8330420000000001E-2</v>
      </c>
      <c r="I28" s="9">
        <v>0.17068169999999999</v>
      </c>
      <c r="J28" s="9">
        <v>0.30841289999999999</v>
      </c>
      <c r="K28" s="1">
        <f t="shared" si="8"/>
        <v>1.2387458410158989</v>
      </c>
      <c r="L28" s="1">
        <f t="shared" si="8"/>
        <v>13.398856973845611</v>
      </c>
      <c r="M28" s="1">
        <f t="shared" si="8"/>
        <v>281.91180656097561</v>
      </c>
      <c r="N28" s="1">
        <f t="shared" si="8"/>
        <v>320.63525493123797</v>
      </c>
      <c r="O28">
        <f t="shared" si="0"/>
        <v>2003</v>
      </c>
      <c r="P28" s="2">
        <f t="shared" si="3"/>
        <v>6226.2020705651594</v>
      </c>
      <c r="Q28" s="9">
        <f t="shared" si="4"/>
        <v>2.6505755941103275</v>
      </c>
      <c r="R28" s="9">
        <f t="shared" si="5"/>
        <v>0.97477682173712143</v>
      </c>
      <c r="S28" s="74">
        <f t="shared" si="9"/>
        <v>4239.7864600490502</v>
      </c>
      <c r="T28" s="1">
        <f t="shared" si="10"/>
        <v>-1986.4156105161092</v>
      </c>
      <c r="V28" s="9"/>
      <c r="W28" s="9"/>
      <c r="X28" s="9"/>
      <c r="Y28" s="9"/>
    </row>
    <row r="29" spans="1:31" x14ac:dyDescent="0.3">
      <c r="A29">
        <v>2004</v>
      </c>
      <c r="B29" s="2">
        <f t="shared" si="11"/>
        <v>5027</v>
      </c>
      <c r="C29" s="1">
        <v>39.623984184425254</v>
      </c>
      <c r="D29" s="1">
        <v>846.12678931300854</v>
      </c>
      <c r="E29" s="1">
        <v>1743.5437113215512</v>
      </c>
      <c r="F29" s="1">
        <v>2397.705515181015</v>
      </c>
      <c r="G29" s="9">
        <v>2.5422279999999998E-2</v>
      </c>
      <c r="H29" s="9">
        <v>8.3009349999999996E-2</v>
      </c>
      <c r="I29" s="9">
        <v>0.25205300000000003</v>
      </c>
      <c r="J29" s="9">
        <v>0.36326629999999999</v>
      </c>
      <c r="K29" s="1">
        <f t="shared" si="8"/>
        <v>1.0336087107060383</v>
      </c>
      <c r="L29" s="1">
        <f t="shared" si="8"/>
        <v>76.594493955265278</v>
      </c>
      <c r="M29" s="1">
        <f t="shared" si="8"/>
        <v>587.56225116182168</v>
      </c>
      <c r="N29" s="1">
        <f t="shared" si="8"/>
        <v>1367.9276139921622</v>
      </c>
      <c r="O29">
        <f t="shared" si="0"/>
        <v>2004</v>
      </c>
      <c r="P29" s="2">
        <f t="shared" si="3"/>
        <v>2629.2482362602823</v>
      </c>
      <c r="Q29" s="9">
        <f t="shared" si="4"/>
        <v>0.52302531057495172</v>
      </c>
      <c r="R29" s="9">
        <f t="shared" si="5"/>
        <v>-0.64812542110742621</v>
      </c>
      <c r="S29" s="74">
        <f t="shared" si="9"/>
        <v>3471.3148550341712</v>
      </c>
      <c r="T29" s="1">
        <f t="shared" si="10"/>
        <v>842.06661877388888</v>
      </c>
      <c r="V29" s="9"/>
      <c r="W29" s="9"/>
      <c r="X29" s="9"/>
      <c r="Y29" s="9"/>
    </row>
    <row r="30" spans="1:31" x14ac:dyDescent="0.3">
      <c r="A30">
        <v>2005</v>
      </c>
      <c r="B30" s="2">
        <f t="shared" si="11"/>
        <v>2660.028364024115</v>
      </c>
      <c r="C30" s="1">
        <v>110.42077610823131</v>
      </c>
      <c r="D30" s="1">
        <v>599.89551513526624</v>
      </c>
      <c r="E30" s="1">
        <v>1268.3130169089136</v>
      </c>
      <c r="F30" s="1">
        <v>681.39905587170369</v>
      </c>
      <c r="G30" s="9">
        <v>2.8622169999999999E-2</v>
      </c>
      <c r="H30" s="9">
        <v>5.7888120000000001E-2</v>
      </c>
      <c r="I30" s="9">
        <v>0.30281750000000002</v>
      </c>
      <c r="J30" s="9">
        <v>0.39111439999999997</v>
      </c>
      <c r="K30" s="1">
        <f t="shared" si="8"/>
        <v>3.2536075332311576</v>
      </c>
      <c r="L30" s="1">
        <f t="shared" si="8"/>
        <v>36.860615288719323</v>
      </c>
      <c r="M30" s="1">
        <f t="shared" si="8"/>
        <v>550.88499352438555</v>
      </c>
      <c r="N30" s="1">
        <f t="shared" si="8"/>
        <v>437.69302952447526</v>
      </c>
      <c r="O30">
        <f t="shared" si="0"/>
        <v>2005</v>
      </c>
      <c r="P30" s="2">
        <f t="shared" si="3"/>
        <v>5011.3647917819308</v>
      </c>
      <c r="Q30" s="9">
        <f t="shared" si="4"/>
        <v>1.8839516373429539</v>
      </c>
      <c r="R30" s="9">
        <f t="shared" si="5"/>
        <v>0.63337150562455546</v>
      </c>
      <c r="S30" s="74">
        <f t="shared" si="9"/>
        <v>4294.2168274058831</v>
      </c>
      <c r="T30" s="1">
        <f t="shared" si="10"/>
        <v>-717.14796437604764</v>
      </c>
      <c r="V30" s="9"/>
      <c r="W30" s="9"/>
      <c r="X30" s="9"/>
      <c r="Y30" s="9"/>
    </row>
    <row r="31" spans="1:31" x14ac:dyDescent="0.3">
      <c r="A31">
        <v>2006</v>
      </c>
      <c r="B31" s="2">
        <f t="shared" si="11"/>
        <v>3391.9999999999991</v>
      </c>
      <c r="C31" s="1">
        <v>16.391951695210928</v>
      </c>
      <c r="D31" s="1">
        <v>854.60474046066088</v>
      </c>
      <c r="E31" s="1">
        <v>1733.6235507494434</v>
      </c>
      <c r="F31" s="1">
        <v>787.37975709468412</v>
      </c>
      <c r="G31" s="9">
        <v>2.100306E-2</v>
      </c>
      <c r="H31" s="9">
        <v>8.6884050000000004E-2</v>
      </c>
      <c r="I31" s="9">
        <v>0.24650639999999999</v>
      </c>
      <c r="J31" s="9">
        <v>0.37098300000000001</v>
      </c>
      <c r="K31" s="1">
        <f t="shared" si="8"/>
        <v>0.35166723296562785</v>
      </c>
      <c r="L31" s="1">
        <f t="shared" si="8"/>
        <v>81.316640017536756</v>
      </c>
      <c r="M31" s="1">
        <f t="shared" si="8"/>
        <v>567.15717353201489</v>
      </c>
      <c r="N31" s="1">
        <f t="shared" si="8"/>
        <v>464.38252769997831</v>
      </c>
      <c r="O31">
        <f t="shared" si="0"/>
        <v>2006</v>
      </c>
      <c r="P31" s="2">
        <f t="shared" si="3"/>
        <v>4054.4354998180579</v>
      </c>
      <c r="Q31" s="9">
        <f t="shared" si="4"/>
        <v>1.1952934846161731</v>
      </c>
      <c r="R31" s="9">
        <f t="shared" si="5"/>
        <v>0.17839174905131375</v>
      </c>
      <c r="S31" s="74">
        <f t="shared" si="9"/>
        <v>4211.1478536431023</v>
      </c>
      <c r="T31" s="1">
        <f t="shared" si="10"/>
        <v>156.71235382504437</v>
      </c>
      <c r="V31" s="9"/>
      <c r="W31" s="9"/>
      <c r="X31" s="9"/>
      <c r="Y31" s="9"/>
      <c r="AD31">
        <v>1000</v>
      </c>
      <c r="AE31">
        <f>AD31</f>
        <v>1000</v>
      </c>
    </row>
    <row r="32" spans="1:31" x14ac:dyDescent="0.3">
      <c r="A32">
        <v>2007</v>
      </c>
      <c r="B32" s="2">
        <f t="shared" si="11"/>
        <v>2932</v>
      </c>
      <c r="C32" s="1">
        <v>43.637578319804447</v>
      </c>
      <c r="D32" s="1">
        <v>246.13575941806712</v>
      </c>
      <c r="E32" s="1">
        <v>2029.262583498371</v>
      </c>
      <c r="F32" s="1">
        <v>612.96407876375747</v>
      </c>
      <c r="G32" s="9">
        <v>4.0839130000000001E-2</v>
      </c>
      <c r="H32" s="9">
        <v>3.9543219999999997E-2</v>
      </c>
      <c r="I32" s="9">
        <v>0.30015269999999999</v>
      </c>
      <c r="J32" s="9">
        <v>0.43875570000000003</v>
      </c>
      <c r="K32" s="1">
        <f t="shared" si="8"/>
        <v>1.8579998305056746</v>
      </c>
      <c r="L32" s="1">
        <f t="shared" si="8"/>
        <v>10.133720420543753</v>
      </c>
      <c r="M32" s="1">
        <f t="shared" si="8"/>
        <v>870.3164868193553</v>
      </c>
      <c r="N32" s="1">
        <f t="shared" si="8"/>
        <v>479.18791059944397</v>
      </c>
      <c r="O32">
        <f t="shared" si="0"/>
        <v>2007</v>
      </c>
      <c r="P32" s="2">
        <f t="shared" si="3"/>
        <v>8419.653259053006</v>
      </c>
      <c r="Q32" s="9">
        <f t="shared" si="4"/>
        <v>2.8716416299635084</v>
      </c>
      <c r="R32" s="9">
        <f t="shared" si="5"/>
        <v>1.0548838627468498</v>
      </c>
      <c r="S32" s="74">
        <f t="shared" si="9"/>
        <v>4293.229202459368</v>
      </c>
      <c r="T32" s="1">
        <f t="shared" si="10"/>
        <v>-4126.4240565936379</v>
      </c>
      <c r="V32" s="9"/>
      <c r="W32" s="9"/>
      <c r="X32" s="9"/>
      <c r="Y32" s="9"/>
      <c r="AD32">
        <f>AD31+1000</f>
        <v>2000</v>
      </c>
      <c r="AE32">
        <f>AD32</f>
        <v>2000</v>
      </c>
    </row>
    <row r="33" spans="1:31" x14ac:dyDescent="0.3">
      <c r="A33">
        <v>2008</v>
      </c>
      <c r="B33" s="2">
        <f t="shared" si="11"/>
        <v>2838</v>
      </c>
      <c r="C33" s="1">
        <v>30.4643934542101</v>
      </c>
      <c r="D33" s="1">
        <v>876.98462837758916</v>
      </c>
      <c r="E33" s="1">
        <v>387.64096621159985</v>
      </c>
      <c r="F33" s="1">
        <v>1542.9100119566006</v>
      </c>
      <c r="G33" s="9">
        <v>3.7111119999999997E-2</v>
      </c>
      <c r="H33" s="9">
        <v>8.0986810000000006E-2</v>
      </c>
      <c r="I33" s="9">
        <v>0.23125370000000001</v>
      </c>
      <c r="J33" s="9">
        <v>0.32240160000000001</v>
      </c>
      <c r="K33" s="1">
        <f t="shared" si="8"/>
        <v>1.1741414660499614</v>
      </c>
      <c r="L33" s="1">
        <f t="shared" si="8"/>
        <v>77.283099137387168</v>
      </c>
      <c r="M33" s="1">
        <f t="shared" si="8"/>
        <v>116.60987208394687</v>
      </c>
      <c r="N33" s="1">
        <f t="shared" si="8"/>
        <v>734.11722417117164</v>
      </c>
      <c r="O33">
        <f t="shared" si="0"/>
        <v>2008</v>
      </c>
      <c r="P33" s="2">
        <f t="shared" si="3"/>
        <v>3347.4381097352039</v>
      </c>
      <c r="Q33" s="9">
        <f t="shared" si="4"/>
        <v>1.1795060288002832</v>
      </c>
      <c r="R33" s="9">
        <f t="shared" si="5"/>
        <v>0.16509573117112528</v>
      </c>
      <c r="S33" s="74">
        <f t="shared" si="9"/>
        <v>4298.1268129950613</v>
      </c>
      <c r="T33" s="1">
        <f t="shared" si="10"/>
        <v>950.68870325985745</v>
      </c>
      <c r="V33" s="9"/>
      <c r="W33" s="9"/>
      <c r="X33" s="9"/>
      <c r="Y33" s="9"/>
      <c r="AD33">
        <f t="shared" ref="AD33:AD70" si="12">AD32+1000</f>
        <v>3000</v>
      </c>
      <c r="AE33">
        <f t="shared" ref="AE33:AE70" si="13">AD33</f>
        <v>3000</v>
      </c>
    </row>
    <row r="34" spans="1:31" x14ac:dyDescent="0.3">
      <c r="A34">
        <v>2009</v>
      </c>
      <c r="B34" s="2">
        <f t="shared" si="11"/>
        <v>4070</v>
      </c>
      <c r="C34" s="1">
        <v>393.91586789377533</v>
      </c>
      <c r="D34" s="1">
        <v>787.67079298090243</v>
      </c>
      <c r="E34" s="1">
        <v>1665.1741907349092</v>
      </c>
      <c r="F34" s="1">
        <v>1223.239148390413</v>
      </c>
      <c r="G34" s="9">
        <v>2.980928E-2</v>
      </c>
      <c r="H34" s="9">
        <v>6.6412230000000003E-2</v>
      </c>
      <c r="I34" s="9">
        <v>0.3203587</v>
      </c>
      <c r="J34" s="9">
        <v>0.33949810000000002</v>
      </c>
      <c r="K34" s="1">
        <f t="shared" si="8"/>
        <v>12.103134116237023</v>
      </c>
      <c r="L34" s="1">
        <f t="shared" si="8"/>
        <v>56.032197023885686</v>
      </c>
      <c r="M34" s="1">
        <f t="shared" si="8"/>
        <v>784.90380001537221</v>
      </c>
      <c r="N34" s="1">
        <f t="shared" si="8"/>
        <v>628.74515080753486</v>
      </c>
      <c r="O34">
        <f t="shared" si="0"/>
        <v>2009</v>
      </c>
      <c r="P34" s="2">
        <f t="shared" si="3"/>
        <v>1739.802692830571</v>
      </c>
      <c r="Q34" s="9">
        <f t="shared" si="4"/>
        <v>0.4274699490984204</v>
      </c>
      <c r="R34" s="9">
        <f t="shared" si="5"/>
        <v>-0.84987128758271568</v>
      </c>
      <c r="S34" s="74">
        <f t="shared" si="9"/>
        <v>3961.8283577155903</v>
      </c>
      <c r="T34" s="1">
        <f t="shared" si="10"/>
        <v>2222.0256648850191</v>
      </c>
      <c r="V34" s="9"/>
      <c r="W34" s="9"/>
      <c r="X34" s="9"/>
      <c r="Y34" s="9"/>
      <c r="AD34">
        <f t="shared" si="12"/>
        <v>4000</v>
      </c>
      <c r="AE34">
        <f t="shared" si="13"/>
        <v>4000</v>
      </c>
    </row>
    <row r="35" spans="1:31" x14ac:dyDescent="0.3">
      <c r="A35">
        <v>2010</v>
      </c>
      <c r="B35" s="2">
        <f t="shared" si="11"/>
        <v>4080.0000000000005</v>
      </c>
      <c r="C35" s="1">
        <v>330.44089947795396</v>
      </c>
      <c r="D35" s="1">
        <v>1611.0817397732671</v>
      </c>
      <c r="E35" s="1">
        <v>1539.5233251740547</v>
      </c>
      <c r="F35" s="1">
        <v>598.95403557472434</v>
      </c>
      <c r="G35" s="9">
        <v>2.2146989999999998E-2</v>
      </c>
      <c r="H35" s="9">
        <v>5.3677639999999999E-2</v>
      </c>
      <c r="I35" s="9">
        <v>0.39406200000000002</v>
      </c>
      <c r="J35" s="9">
        <v>0.61642969999999997</v>
      </c>
      <c r="K35" s="1">
        <f t="shared" si="8"/>
        <v>7.4840198081808333</v>
      </c>
      <c r="L35" s="1">
        <f t="shared" si="8"/>
        <v>91.384362552865298</v>
      </c>
      <c r="M35" s="1">
        <f t="shared" si="8"/>
        <v>1001.2041505314709</v>
      </c>
      <c r="N35" s="1">
        <f t="shared" si="8"/>
        <v>962.56945979163822</v>
      </c>
      <c r="O35">
        <f t="shared" si="0"/>
        <v>2010</v>
      </c>
      <c r="P35" s="2">
        <f t="shared" si="3"/>
        <v>10432.552560333403</v>
      </c>
      <c r="Q35" s="9">
        <f t="shared" si="4"/>
        <v>2.5569981765523044</v>
      </c>
      <c r="R35" s="9">
        <f t="shared" si="5"/>
        <v>0.93883398318885181</v>
      </c>
      <c r="S35" s="74">
        <f t="shared" si="9"/>
        <v>3957.3389341026896</v>
      </c>
      <c r="T35" s="1">
        <f t="shared" si="10"/>
        <v>-6475.2136262307131</v>
      </c>
      <c r="V35" s="9"/>
      <c r="W35" s="9"/>
      <c r="X35" s="9"/>
      <c r="Y35" s="9"/>
      <c r="AD35">
        <f t="shared" si="12"/>
        <v>5000</v>
      </c>
      <c r="AE35">
        <f t="shared" si="13"/>
        <v>5000</v>
      </c>
    </row>
    <row r="36" spans="1:31" x14ac:dyDescent="0.3">
      <c r="A36">
        <v>2011</v>
      </c>
      <c r="B36" s="2">
        <f t="shared" si="11"/>
        <v>4314</v>
      </c>
      <c r="C36" s="1">
        <v>172.98121912116179</v>
      </c>
      <c r="D36" s="1">
        <v>497.65666017264323</v>
      </c>
      <c r="E36" s="1">
        <v>3435.0833044026931</v>
      </c>
      <c r="F36" s="1">
        <v>208.27881630350177</v>
      </c>
      <c r="G36" s="9">
        <v>2.973539E-2</v>
      </c>
      <c r="H36" s="9">
        <v>3.9607169999999997E-2</v>
      </c>
      <c r="I36" s="9">
        <v>0.2855086</v>
      </c>
      <c r="J36" s="9">
        <v>0.67373159999999999</v>
      </c>
      <c r="K36" s="1">
        <f t="shared" si="8"/>
        <v>5.3013002434904877</v>
      </c>
      <c r="L36" s="1">
        <f t="shared" si="8"/>
        <v>20.523655868078595</v>
      </c>
      <c r="M36" s="1">
        <f t="shared" si="8"/>
        <v>1372.6488871991837</v>
      </c>
      <c r="N36" s="1">
        <f t="shared" si="8"/>
        <v>430.08768288398238</v>
      </c>
      <c r="O36">
        <f t="shared" si="0"/>
        <v>2011</v>
      </c>
      <c r="P36" s="2">
        <f t="shared" si="3"/>
        <v>4580.9707618599386</v>
      </c>
      <c r="Q36" s="9">
        <f t="shared" si="4"/>
        <v>1.0618847384932635</v>
      </c>
      <c r="R36" s="9">
        <f t="shared" si="5"/>
        <v>6.0045384437451034E-2</v>
      </c>
      <c r="S36" s="74">
        <f t="shared" si="9"/>
        <v>3847.3547195087176</v>
      </c>
      <c r="T36" s="1">
        <f t="shared" si="10"/>
        <v>-733.61604235122104</v>
      </c>
      <c r="V36" s="9"/>
      <c r="W36" s="9"/>
      <c r="X36" s="9"/>
      <c r="Y36" s="9"/>
      <c r="AD36">
        <f t="shared" si="12"/>
        <v>6000</v>
      </c>
      <c r="AE36">
        <f t="shared" si="13"/>
        <v>6000</v>
      </c>
    </row>
    <row r="37" spans="1:31" x14ac:dyDescent="0.3">
      <c r="A37">
        <v>2012</v>
      </c>
      <c r="B37" s="2">
        <f t="shared" si="11"/>
        <v>2456.9999999999995</v>
      </c>
      <c r="C37" s="1">
        <v>148.31218797653369</v>
      </c>
      <c r="D37" s="1">
        <v>217.66521915070317</v>
      </c>
      <c r="E37" s="1">
        <v>1169.1886497665837</v>
      </c>
      <c r="F37" s="1">
        <v>921.83394310617905</v>
      </c>
      <c r="G37" s="9">
        <v>2.4349464624212305E-2</v>
      </c>
      <c r="H37" s="9">
        <v>6.9017833959685693E-2</v>
      </c>
      <c r="I37" s="9">
        <v>0.23003348873348875</v>
      </c>
      <c r="J37" s="9">
        <v>0.38684854844351174</v>
      </c>
      <c r="K37" s="1">
        <f t="shared" si="8"/>
        <v>3.7014507177851059</v>
      </c>
      <c r="L37" s="1">
        <f t="shared" si="8"/>
        <v>16.136487359405869</v>
      </c>
      <c r="M37" s="1">
        <f t="shared" si="8"/>
        <v>349.30421019351428</v>
      </c>
      <c r="N37" s="1">
        <f t="shared" si="8"/>
        <v>581.60202000880452</v>
      </c>
      <c r="O37">
        <f t="shared" si="0"/>
        <v>2012</v>
      </c>
      <c r="P37" s="2">
        <f t="shared" si="3"/>
        <v>10098.380169592896</v>
      </c>
      <c r="Q37" s="9">
        <f t="shared" si="4"/>
        <v>4.1100448390691486</v>
      </c>
      <c r="R37" s="9">
        <f t="shared" si="5"/>
        <v>1.4134339381978169</v>
      </c>
      <c r="S37" s="74">
        <f t="shared" si="9"/>
        <v>4266.1681709934073</v>
      </c>
      <c r="T37" s="1">
        <f t="shared" si="10"/>
        <v>-5832.2119985994887</v>
      </c>
      <c r="V37" s="9"/>
      <c r="W37" s="9"/>
      <c r="X37" s="9"/>
      <c r="Y37" s="9"/>
      <c r="AD37">
        <f t="shared" si="12"/>
        <v>7000</v>
      </c>
      <c r="AE37">
        <f t="shared" si="13"/>
        <v>7000</v>
      </c>
    </row>
    <row r="38" spans="1:31" x14ac:dyDescent="0.3">
      <c r="A38">
        <v>2013</v>
      </c>
      <c r="B38" s="2">
        <f t="shared" si="11"/>
        <v>2179</v>
      </c>
      <c r="C38" s="1">
        <v>29.499097472924188</v>
      </c>
      <c r="D38" s="1">
        <v>892.83935018050545</v>
      </c>
      <c r="E38" s="1">
        <v>778.77617328519864</v>
      </c>
      <c r="F38" s="1">
        <v>477.88537906137185</v>
      </c>
      <c r="G38" s="9">
        <v>2.525063E-2</v>
      </c>
      <c r="H38" s="9">
        <v>9.4009469999999998E-2</v>
      </c>
      <c r="I38" s="9">
        <v>0.31465310000000002</v>
      </c>
      <c r="J38" s="9">
        <v>0.50877289999999997</v>
      </c>
      <c r="K38" s="1">
        <f t="shared" si="8"/>
        <v>0.76416648068492088</v>
      </c>
      <c r="L38" s="1">
        <f t="shared" si="8"/>
        <v>92.64484707761099</v>
      </c>
      <c r="M38" s="1">
        <f t="shared" si="8"/>
        <v>357.54788871201572</v>
      </c>
      <c r="N38" s="1">
        <f t="shared" si="8"/>
        <v>494.9546353868779</v>
      </c>
      <c r="O38">
        <f t="shared" si="0"/>
        <v>2013</v>
      </c>
      <c r="P38" s="2">
        <f t="shared" si="3"/>
        <v>9610.0798909074256</v>
      </c>
      <c r="Q38" s="9">
        <f t="shared" si="4"/>
        <v>4.410316608952467</v>
      </c>
      <c r="R38" s="9">
        <f t="shared" si="5"/>
        <v>1.4839464802949887</v>
      </c>
      <c r="S38" s="74">
        <f t="shared" si="9"/>
        <v>4180.2952339099484</v>
      </c>
      <c r="T38" s="1">
        <f t="shared" si="10"/>
        <v>-5429.7846569974772</v>
      </c>
      <c r="V38" s="9"/>
      <c r="W38" s="9"/>
      <c r="X38" s="9"/>
      <c r="Y38" s="9"/>
      <c r="AD38">
        <f t="shared" si="12"/>
        <v>8000</v>
      </c>
      <c r="AE38">
        <f t="shared" si="13"/>
        <v>8000</v>
      </c>
    </row>
    <row r="39" spans="1:31" x14ac:dyDescent="0.3">
      <c r="A39">
        <v>2014</v>
      </c>
      <c r="B39" s="2">
        <f t="shared" si="11"/>
        <v>1533</v>
      </c>
      <c r="C39" s="1">
        <v>99.11637931034484</v>
      </c>
      <c r="D39" s="1">
        <v>175.10560344827587</v>
      </c>
      <c r="E39" s="1">
        <v>1134.8825431034484</v>
      </c>
      <c r="F39" s="1">
        <v>123.89547413793103</v>
      </c>
      <c r="G39" s="9">
        <v>2.7811280000000001E-2</v>
      </c>
      <c r="H39" s="9">
        <v>7.4414549999999996E-2</v>
      </c>
      <c r="I39" s="9">
        <v>0.3265998</v>
      </c>
      <c r="J39" s="9">
        <v>0.35266930000000002</v>
      </c>
      <c r="K39" s="1">
        <f t="shared" si="8"/>
        <v>2.8354097521170658</v>
      </c>
      <c r="L39" s="1">
        <f t="shared" si="8"/>
        <v>14.078013740473011</v>
      </c>
      <c r="M39" s="1">
        <f t="shared" si="8"/>
        <v>550.41921817231071</v>
      </c>
      <c r="N39" s="1">
        <f t="shared" si="8"/>
        <v>67.498930820664384</v>
      </c>
      <c r="O39">
        <f t="shared" si="0"/>
        <v>2014</v>
      </c>
      <c r="P39" s="2">
        <f>SUM(F44,E43,D42,C41,K41,L42,M43,N44)</f>
        <v>3902.5040854161798</v>
      </c>
      <c r="Q39" s="9">
        <f t="shared" si="4"/>
        <v>2.5456647654378211</v>
      </c>
      <c r="R39" s="9">
        <f t="shared" si="5"/>
        <v>0.93439182038876367</v>
      </c>
      <c r="S39" s="74">
        <f t="shared" si="9"/>
        <v>3708.0805496284147</v>
      </c>
      <c r="T39" s="1">
        <f t="shared" si="10"/>
        <v>-194.4235357877651</v>
      </c>
      <c r="V39" s="9"/>
      <c r="W39" s="9"/>
      <c r="X39" s="9"/>
      <c r="Y39" s="9"/>
      <c r="AD39">
        <f t="shared" si="12"/>
        <v>9000</v>
      </c>
      <c r="AE39">
        <f t="shared" si="13"/>
        <v>9000</v>
      </c>
    </row>
    <row r="40" spans="1:31" x14ac:dyDescent="0.3">
      <c r="A40">
        <v>2015</v>
      </c>
      <c r="B40" s="2">
        <f t="shared" si="11"/>
        <v>7102</v>
      </c>
      <c r="C40" s="1">
        <v>43.570552147239262</v>
      </c>
      <c r="D40" s="1">
        <v>3436.627300613497</v>
      </c>
      <c r="E40" s="1">
        <v>2080.4938650306744</v>
      </c>
      <c r="F40" s="1">
        <v>1541.3082822085889</v>
      </c>
      <c r="G40" s="9">
        <v>6.835865E-3</v>
      </c>
      <c r="H40" s="9">
        <v>0.104323</v>
      </c>
      <c r="I40" s="9">
        <v>0.48411999999999999</v>
      </c>
      <c r="J40" s="9">
        <v>0.79745619999999995</v>
      </c>
      <c r="K40" s="1">
        <f t="shared" si="8"/>
        <v>0.29989243666555454</v>
      </c>
      <c r="L40" s="1">
        <f t="shared" si="8"/>
        <v>400.27741013992971</v>
      </c>
      <c r="M40" s="1">
        <f t="shared" si="8"/>
        <v>1952.4088740378577</v>
      </c>
      <c r="N40" s="1">
        <f t="shared" si="8"/>
        <v>6068.4446808966186</v>
      </c>
      <c r="O40">
        <f t="shared" si="0"/>
        <v>2015</v>
      </c>
      <c r="P40" s="2">
        <f>SUM(F45,E44,D43,C42,K42,L43,M44,N45)</f>
        <v>7243.1092733586811</v>
      </c>
      <c r="Q40" s="9">
        <f t="shared" ref="Q40" si="14">P40/B40</f>
        <v>1.0198689486565307</v>
      </c>
      <c r="R40" s="9">
        <f t="shared" ref="R40" si="15">LN(Q40)</f>
        <v>1.9674137332414195E-2</v>
      </c>
      <c r="S40" s="74">
        <f t="shared" ref="S40" si="16">B40*EXP($S$1-$S$2*B40)</f>
        <v>2329.4163895941497</v>
      </c>
      <c r="T40" s="1">
        <f t="shared" ref="T40" si="17">S40-P40</f>
        <v>-4913.6928837645319</v>
      </c>
      <c r="V40" s="9"/>
      <c r="W40" s="9"/>
      <c r="X40" s="9"/>
      <c r="Y40" s="9"/>
      <c r="AD40">
        <f t="shared" si="12"/>
        <v>10000</v>
      </c>
      <c r="AE40">
        <f t="shared" si="13"/>
        <v>10000</v>
      </c>
    </row>
    <row r="41" spans="1:31" x14ac:dyDescent="0.3">
      <c r="A41">
        <v>2016</v>
      </c>
      <c r="B41" s="2">
        <f t="shared" si="11"/>
        <v>2499</v>
      </c>
      <c r="C41" s="1">
        <v>13.208245243128964</v>
      </c>
      <c r="D41" s="1">
        <v>390.96405919661731</v>
      </c>
      <c r="E41" s="1">
        <v>2010.2949260042283</v>
      </c>
      <c r="F41" s="1">
        <v>84.532769556025386</v>
      </c>
      <c r="G41" s="9">
        <v>6.4811640000000004E-4</v>
      </c>
      <c r="H41" s="9">
        <v>5.754447E-2</v>
      </c>
      <c r="I41" s="9">
        <v>0.40689955588079441</v>
      </c>
      <c r="J41" s="9">
        <v>0.74276527331189701</v>
      </c>
      <c r="K41" s="1">
        <f t="shared" si="8"/>
        <v>8.5660321432088089E-3</v>
      </c>
      <c r="L41" s="1">
        <f t="shared" si="8"/>
        <v>23.871491926539992</v>
      </c>
      <c r="M41" s="1">
        <f t="shared" si="8"/>
        <v>1379.1729894846105</v>
      </c>
      <c r="N41" s="1">
        <f t="shared" si="8"/>
        <v>244.0883720930232</v>
      </c>
      <c r="O41">
        <f t="shared" si="0"/>
        <v>2016</v>
      </c>
      <c r="P41" s="2"/>
      <c r="V41" s="9"/>
      <c r="W41" s="9"/>
      <c r="X41" s="9"/>
      <c r="Y41" s="9"/>
      <c r="Z41" s="56"/>
      <c r="AD41">
        <f t="shared" si="12"/>
        <v>11000</v>
      </c>
      <c r="AE41">
        <f t="shared" si="13"/>
        <v>11000</v>
      </c>
    </row>
    <row r="42" spans="1:31" x14ac:dyDescent="0.3">
      <c r="A42">
        <v>2017</v>
      </c>
      <c r="B42" s="2">
        <f t="shared" si="11"/>
        <v>6431</v>
      </c>
      <c r="C42" s="1">
        <v>103.99063829787234</v>
      </c>
      <c r="D42" s="1">
        <v>700.56851063829788</v>
      </c>
      <c r="E42" s="1">
        <v>4154.1523404255322</v>
      </c>
      <c r="F42" s="1">
        <v>1472.2885106382978</v>
      </c>
      <c r="G42" s="9">
        <v>1.2863884466681831E-2</v>
      </c>
      <c r="H42" s="9">
        <v>8.3217529004944571E-2</v>
      </c>
      <c r="I42" s="9">
        <v>0.39669480521137074</v>
      </c>
      <c r="J42" s="9">
        <v>0.4684986003046579</v>
      </c>
      <c r="K42" s="1">
        <f t="shared" si="8"/>
        <v>1.3551561285523419</v>
      </c>
      <c r="L42" s="1">
        <f t="shared" si="8"/>
        <v>63.591508562239738</v>
      </c>
      <c r="M42" s="1">
        <f t="shared" si="8"/>
        <v>2731.5041669429461</v>
      </c>
      <c r="N42" s="1">
        <f t="shared" si="8"/>
        <v>1297.7672436498697</v>
      </c>
      <c r="O42">
        <f t="shared" si="0"/>
        <v>2017</v>
      </c>
      <c r="P42" s="2"/>
      <c r="V42" s="9"/>
      <c r="W42" s="9"/>
      <c r="X42" s="9"/>
      <c r="Y42" s="9"/>
      <c r="Z42" s="56"/>
      <c r="AD42">
        <f t="shared" si="12"/>
        <v>12000</v>
      </c>
      <c r="AE42">
        <f t="shared" si="13"/>
        <v>12000</v>
      </c>
    </row>
    <row r="43" spans="1:31" x14ac:dyDescent="0.3">
      <c r="A43">
        <v>2018</v>
      </c>
      <c r="B43" s="2">
        <f t="shared" si="11"/>
        <v>5006.2833935630069</v>
      </c>
      <c r="C43" s="1">
        <v>125.94423631605049</v>
      </c>
      <c r="D43" s="1">
        <v>2133.1805026031052</v>
      </c>
      <c r="E43" s="1">
        <v>1330.2859960882834</v>
      </c>
      <c r="F43" s="1">
        <v>1416.8726585555678</v>
      </c>
      <c r="G43" s="9">
        <v>4.8495465673959485E-3</v>
      </c>
      <c r="H43" s="9">
        <v>7.9853133903889734E-2</v>
      </c>
      <c r="I43" s="9">
        <v>0.41923861832657283</v>
      </c>
      <c r="J43" s="9">
        <v>0.3746472238042875</v>
      </c>
      <c r="K43" s="1">
        <f t="shared" si="8"/>
        <v>0.61374884250220663</v>
      </c>
      <c r="L43" s="1">
        <f t="shared" si="8"/>
        <v>185.12386945166236</v>
      </c>
      <c r="M43" s="1">
        <f t="shared" si="8"/>
        <v>960.30362999041427</v>
      </c>
      <c r="N43" s="1">
        <f t="shared" si="8"/>
        <v>848.84472927631828</v>
      </c>
      <c r="O43">
        <f t="shared" si="0"/>
        <v>2018</v>
      </c>
      <c r="V43" s="9"/>
      <c r="W43" s="9"/>
      <c r="X43" s="9"/>
      <c r="Y43" s="9"/>
      <c r="Z43" s="56"/>
      <c r="AD43">
        <f t="shared" si="12"/>
        <v>13000</v>
      </c>
      <c r="AE43">
        <f t="shared" si="13"/>
        <v>13000</v>
      </c>
    </row>
    <row r="44" spans="1:31" x14ac:dyDescent="0.3">
      <c r="A44">
        <v>2019</v>
      </c>
      <c r="B44" s="2">
        <f>SUM(C44:F44)</f>
        <v>5308</v>
      </c>
      <c r="C44" s="1">
        <v>295.34466769706336</v>
      </c>
      <c r="D44" s="1">
        <v>1435.7032457496134</v>
      </c>
      <c r="E44" s="1">
        <v>3232.3833075734155</v>
      </c>
      <c r="F44" s="1">
        <v>344.56877897990728</v>
      </c>
      <c r="G44" s="9">
        <v>2.3319049826449733E-3</v>
      </c>
      <c r="H44" s="9">
        <v>6.8433964124364227E-2</v>
      </c>
      <c r="I44" s="9">
        <v>0.29393601850478468</v>
      </c>
      <c r="J44" s="9">
        <v>0.5871141491248193</v>
      </c>
      <c r="K44" s="1">
        <f t="shared" si="8"/>
        <v>0.69032547561664315</v>
      </c>
      <c r="L44" s="1">
        <f>(H44*D44)/(1-H44)</f>
        <v>105.4684913673461</v>
      </c>
      <c r="M44" s="1">
        <f t="shared" si="8"/>
        <v>1345.6484180051536</v>
      </c>
      <c r="N44" s="1">
        <f>(J44*F44)/(1-J44)</f>
        <v>489.96884988176492</v>
      </c>
      <c r="O44">
        <f t="shared" si="0"/>
        <v>2019</v>
      </c>
      <c r="V44" s="9"/>
      <c r="W44" s="9"/>
      <c r="X44" s="9"/>
      <c r="Y44" s="9"/>
      <c r="Z44" s="56"/>
      <c r="AD44">
        <f>AD43+1000</f>
        <v>14000</v>
      </c>
      <c r="AE44">
        <f t="shared" si="13"/>
        <v>14000</v>
      </c>
    </row>
    <row r="45" spans="1:31" x14ac:dyDescent="0.3">
      <c r="A45">
        <v>2020</v>
      </c>
      <c r="B45" s="97">
        <f>SUM(C45:F45)</f>
        <v>2353</v>
      </c>
      <c r="C45" s="98">
        <v>77.728967807432582</v>
      </c>
      <c r="D45" s="98">
        <v>1020.9887586797744</v>
      </c>
      <c r="E45" s="99">
        <v>1109.425844733441</v>
      </c>
      <c r="F45" s="99">
        <v>144.85642877935214</v>
      </c>
      <c r="G45" s="96">
        <v>8.9999999999999993E-3</v>
      </c>
      <c r="H45" s="96">
        <v>4.5999999999999999E-2</v>
      </c>
      <c r="I45" s="96">
        <v>0.193</v>
      </c>
      <c r="J45" s="96">
        <v>0.4</v>
      </c>
      <c r="K45" s="94">
        <f t="shared" si="8"/>
        <v>0.70591393568808591</v>
      </c>
      <c r="L45" s="94">
        <f>(H45*D45)/(1-H45)</f>
        <v>49.230065932148456</v>
      </c>
      <c r="M45" s="94">
        <f t="shared" ref="M45" si="18">(I45*E45)/(1-I45)</f>
        <v>265.32737054963337</v>
      </c>
      <c r="N45" s="94">
        <f>(J45*F45)/(1-J45)</f>
        <v>96.570952519568095</v>
      </c>
      <c r="O45" s="55">
        <f t="shared" ref="O45" si="19">A45</f>
        <v>2020</v>
      </c>
      <c r="Z45" s="56"/>
      <c r="AD45">
        <f t="shared" si="12"/>
        <v>15000</v>
      </c>
      <c r="AE45">
        <f t="shared" si="13"/>
        <v>15000</v>
      </c>
    </row>
    <row r="46" spans="1:31" x14ac:dyDescent="0.3">
      <c r="U46" s="56"/>
      <c r="V46" s="81"/>
      <c r="W46" s="80"/>
      <c r="X46" s="80"/>
      <c r="Y46" s="80"/>
      <c r="Z46" s="56"/>
      <c r="AD46">
        <f t="shared" si="12"/>
        <v>16000</v>
      </c>
      <c r="AE46">
        <f t="shared" si="13"/>
        <v>16000</v>
      </c>
    </row>
    <row r="47" spans="1:31" x14ac:dyDescent="0.3">
      <c r="U47" s="56"/>
      <c r="V47" s="81"/>
      <c r="W47" s="80"/>
      <c r="X47" s="80"/>
      <c r="Y47" s="80"/>
      <c r="Z47" s="56"/>
      <c r="AD47">
        <f t="shared" si="12"/>
        <v>17000</v>
      </c>
      <c r="AE47">
        <f t="shared" si="13"/>
        <v>17000</v>
      </c>
    </row>
    <row r="48" spans="1:31" x14ac:dyDescent="0.3">
      <c r="U48" s="56"/>
      <c r="V48" s="81"/>
      <c r="W48" s="80"/>
      <c r="X48" s="80"/>
      <c r="Y48" s="80"/>
      <c r="Z48" s="56"/>
      <c r="AD48">
        <f t="shared" si="12"/>
        <v>18000</v>
      </c>
      <c r="AE48">
        <f t="shared" si="13"/>
        <v>18000</v>
      </c>
    </row>
    <row r="49" spans="7:31" x14ac:dyDescent="0.3">
      <c r="U49" s="56"/>
      <c r="V49" s="81"/>
      <c r="W49" s="80"/>
      <c r="X49" s="80"/>
      <c r="Y49" s="80"/>
      <c r="Z49" s="56"/>
      <c r="AD49">
        <f t="shared" si="12"/>
        <v>19000</v>
      </c>
      <c r="AE49">
        <f t="shared" si="13"/>
        <v>19000</v>
      </c>
    </row>
    <row r="50" spans="7:31" x14ac:dyDescent="0.3">
      <c r="U50" s="56"/>
      <c r="V50" s="81"/>
      <c r="W50" s="80"/>
      <c r="X50" s="80"/>
      <c r="Y50" s="80"/>
      <c r="Z50" s="56"/>
      <c r="AD50">
        <f t="shared" si="12"/>
        <v>20000</v>
      </c>
      <c r="AE50">
        <f t="shared" si="13"/>
        <v>20000</v>
      </c>
    </row>
    <row r="51" spans="7:31" x14ac:dyDescent="0.3">
      <c r="U51" s="56"/>
      <c r="V51" s="81"/>
      <c r="W51" s="80"/>
      <c r="X51" s="80"/>
      <c r="Y51" s="80"/>
      <c r="Z51" s="56"/>
      <c r="AD51">
        <f t="shared" si="12"/>
        <v>21000</v>
      </c>
      <c r="AE51">
        <f t="shared" si="13"/>
        <v>21000</v>
      </c>
    </row>
    <row r="52" spans="7:31" x14ac:dyDescent="0.3">
      <c r="M52" s="58" t="s">
        <v>164</v>
      </c>
      <c r="N52" s="59" t="s">
        <v>165</v>
      </c>
      <c r="O52" s="59"/>
      <c r="P52" s="59"/>
      <c r="Q52" s="60"/>
      <c r="U52" s="56"/>
      <c r="V52" s="81"/>
      <c r="W52" s="80"/>
      <c r="X52" s="80"/>
      <c r="Y52" s="80"/>
      <c r="Z52" s="56"/>
      <c r="AD52">
        <f t="shared" si="12"/>
        <v>22000</v>
      </c>
      <c r="AE52">
        <f t="shared" si="13"/>
        <v>22000</v>
      </c>
    </row>
    <row r="53" spans="7:31" x14ac:dyDescent="0.3">
      <c r="M53" s="61" t="s">
        <v>168</v>
      </c>
      <c r="N53" s="62"/>
      <c r="O53" s="62"/>
      <c r="P53" s="62"/>
      <c r="Q53" s="63"/>
      <c r="U53" s="56"/>
      <c r="V53" s="81"/>
      <c r="W53" s="80"/>
      <c r="X53" s="80"/>
      <c r="Y53" s="80"/>
      <c r="Z53" s="56"/>
      <c r="AD53">
        <f t="shared" si="12"/>
        <v>23000</v>
      </c>
      <c r="AE53">
        <f t="shared" si="13"/>
        <v>23000</v>
      </c>
    </row>
    <row r="54" spans="7:31" x14ac:dyDescent="0.3">
      <c r="M54" s="61" t="s">
        <v>162</v>
      </c>
      <c r="N54" s="62"/>
      <c r="O54" s="64">
        <f>AVERAGE(Q12:Q36)</f>
        <v>2.1389630151032208</v>
      </c>
      <c r="P54" s="62"/>
      <c r="Q54" s="63"/>
      <c r="U54" s="56"/>
      <c r="V54" s="81"/>
      <c r="W54" s="80"/>
      <c r="X54" s="80"/>
      <c r="Y54" s="80"/>
      <c r="AD54">
        <f t="shared" si="12"/>
        <v>24000</v>
      </c>
      <c r="AE54">
        <f t="shared" si="13"/>
        <v>24000</v>
      </c>
    </row>
    <row r="55" spans="7:31" x14ac:dyDescent="0.3">
      <c r="M55" s="61" t="s">
        <v>157</v>
      </c>
      <c r="N55" s="65"/>
      <c r="O55" s="64">
        <f>SLOPE(R10:R39,B10:B39)</f>
        <v>-3.5878011234791917E-4</v>
      </c>
      <c r="P55" s="62"/>
      <c r="Q55" s="66">
        <f>1/-O55</f>
        <v>2787.222495293362</v>
      </c>
      <c r="U55" s="56"/>
      <c r="V55" s="81"/>
      <c r="W55" s="80"/>
      <c r="X55" s="80"/>
      <c r="Y55" s="80"/>
      <c r="AD55">
        <f t="shared" si="12"/>
        <v>25000</v>
      </c>
      <c r="AE55">
        <f t="shared" si="13"/>
        <v>25000</v>
      </c>
    </row>
    <row r="56" spans="7:31" x14ac:dyDescent="0.3">
      <c r="M56" s="61" t="s">
        <v>158</v>
      </c>
      <c r="N56" s="62" t="s">
        <v>167</v>
      </c>
      <c r="O56" s="64">
        <f>INTERCEPT(R10:R39,B10:B39)</f>
        <v>1.4332976830081057</v>
      </c>
      <c r="P56" s="62"/>
      <c r="Q56" s="63"/>
      <c r="U56" s="56"/>
      <c r="V56" s="82"/>
      <c r="W56" s="82"/>
      <c r="X56" s="82"/>
      <c r="Y56" s="82"/>
      <c r="AD56">
        <f t="shared" si="12"/>
        <v>26000</v>
      </c>
      <c r="AE56">
        <f t="shared" si="13"/>
        <v>26000</v>
      </c>
    </row>
    <row r="57" spans="7:31" x14ac:dyDescent="0.3">
      <c r="K57" s="56"/>
      <c r="L57" s="56"/>
      <c r="M57" s="61" t="s">
        <v>166</v>
      </c>
      <c r="N57" s="62"/>
      <c r="O57" s="64">
        <f>EXP(O56)</f>
        <v>4.192501963318354</v>
      </c>
      <c r="P57" s="67" t="s">
        <v>163</v>
      </c>
      <c r="Q57" s="63"/>
      <c r="U57" s="56"/>
      <c r="V57" s="82"/>
      <c r="W57" s="82"/>
      <c r="X57" s="82"/>
      <c r="Y57" s="82"/>
      <c r="AD57">
        <f t="shared" si="12"/>
        <v>27000</v>
      </c>
      <c r="AE57">
        <f t="shared" si="13"/>
        <v>27000</v>
      </c>
    </row>
    <row r="58" spans="7:31" x14ac:dyDescent="0.3">
      <c r="K58" s="56"/>
      <c r="L58" s="56"/>
      <c r="M58" s="61" t="s">
        <v>31</v>
      </c>
      <c r="N58" s="62"/>
      <c r="O58" s="64">
        <f>0.5*O56-0.07*O56^2</f>
        <v>0.57284488413590451</v>
      </c>
      <c r="P58" s="62"/>
      <c r="Q58" s="63"/>
      <c r="S58" s="57"/>
      <c r="U58" s="56"/>
      <c r="V58" s="56"/>
      <c r="W58" s="56"/>
      <c r="X58" s="56"/>
      <c r="Y58" s="56"/>
      <c r="AD58">
        <f t="shared" si="12"/>
        <v>28000</v>
      </c>
      <c r="AE58">
        <f t="shared" si="13"/>
        <v>28000</v>
      </c>
    </row>
    <row r="59" spans="7:31" x14ac:dyDescent="0.3">
      <c r="K59" s="56"/>
      <c r="L59" s="56"/>
      <c r="M59" s="61"/>
      <c r="N59" s="62" t="s">
        <v>16</v>
      </c>
      <c r="O59" s="62">
        <f>O56/-O55</f>
        <v>3994.9195445320465</v>
      </c>
      <c r="P59" s="62"/>
      <c r="Q59" s="63"/>
      <c r="AD59">
        <f t="shared" si="12"/>
        <v>29000</v>
      </c>
      <c r="AE59">
        <f t="shared" si="13"/>
        <v>29000</v>
      </c>
    </row>
    <row r="60" spans="7:31" x14ac:dyDescent="0.3">
      <c r="K60" s="56"/>
      <c r="L60" s="56"/>
      <c r="M60" s="61"/>
      <c r="N60" s="62" t="s">
        <v>15</v>
      </c>
      <c r="O60" s="68">
        <f>O56/-O55*(0.5-(0.07*O56))</f>
        <v>1596.6461473773127</v>
      </c>
      <c r="P60" s="62"/>
      <c r="Q60" s="63"/>
      <c r="AD60">
        <f t="shared" si="12"/>
        <v>30000</v>
      </c>
      <c r="AE60">
        <f t="shared" si="13"/>
        <v>30000</v>
      </c>
    </row>
    <row r="61" spans="7:31" x14ac:dyDescent="0.3">
      <c r="K61" s="56"/>
      <c r="L61" s="56"/>
      <c r="M61" s="61"/>
      <c r="N61" s="62" t="s">
        <v>169</v>
      </c>
      <c r="O61" s="69">
        <f>1/-O55</f>
        <v>2787.222495293362</v>
      </c>
      <c r="P61" s="62"/>
      <c r="Q61" s="63"/>
      <c r="AD61">
        <f t="shared" si="12"/>
        <v>31000</v>
      </c>
      <c r="AE61">
        <f t="shared" si="13"/>
        <v>31000</v>
      </c>
    </row>
    <row r="62" spans="7:31" x14ac:dyDescent="0.3">
      <c r="K62" s="56"/>
      <c r="L62" s="56"/>
      <c r="M62" s="61"/>
      <c r="N62" s="62"/>
      <c r="O62" s="69"/>
      <c r="P62" s="62"/>
      <c r="Q62" s="63"/>
      <c r="AD62">
        <f t="shared" si="12"/>
        <v>32000</v>
      </c>
      <c r="AE62">
        <f t="shared" si="13"/>
        <v>32000</v>
      </c>
    </row>
    <row r="63" spans="7:31" x14ac:dyDescent="0.3">
      <c r="G63" s="2"/>
      <c r="K63" s="56"/>
      <c r="L63" s="56"/>
      <c r="M63" s="61"/>
      <c r="N63" s="62"/>
      <c r="O63" s="69"/>
      <c r="P63" s="62"/>
      <c r="Q63" s="63"/>
      <c r="AD63">
        <f t="shared" si="12"/>
        <v>33000</v>
      </c>
      <c r="AE63">
        <f t="shared" si="13"/>
        <v>33000</v>
      </c>
    </row>
    <row r="64" spans="7:31" x14ac:dyDescent="0.3">
      <c r="G64" s="2"/>
      <c r="K64" s="56"/>
      <c r="L64" s="56"/>
      <c r="M64" s="70" t="s">
        <v>33</v>
      </c>
      <c r="N64" s="71" t="s">
        <v>159</v>
      </c>
      <c r="O64" s="72">
        <f>(O57/-O55)*EXP(-1)</f>
        <v>4298.8315859606091</v>
      </c>
      <c r="P64" s="71"/>
      <c r="Q64" s="72"/>
      <c r="R64" s="57"/>
      <c r="AD64">
        <f t="shared" si="12"/>
        <v>34000</v>
      </c>
      <c r="AE64">
        <f t="shared" si="13"/>
        <v>34000</v>
      </c>
    </row>
    <row r="65" spans="7:31" x14ac:dyDescent="0.3">
      <c r="G65" s="2"/>
      <c r="K65" s="56"/>
      <c r="L65" s="56"/>
      <c r="M65" s="56"/>
      <c r="N65" s="56"/>
      <c r="O65" s="56"/>
      <c r="P65" s="56"/>
      <c r="Q65" s="56"/>
      <c r="AD65">
        <f t="shared" si="12"/>
        <v>35000</v>
      </c>
      <c r="AE65">
        <f t="shared" si="13"/>
        <v>35000</v>
      </c>
    </row>
    <row r="66" spans="7:31" x14ac:dyDescent="0.3">
      <c r="G66" s="2"/>
      <c r="H66" s="11"/>
      <c r="K66" s="56"/>
      <c r="L66" s="56"/>
      <c r="M66" s="56"/>
      <c r="N66" s="56"/>
      <c r="O66" s="56"/>
      <c r="P66" s="56"/>
      <c r="Q66" s="56"/>
      <c r="AD66">
        <f t="shared" si="12"/>
        <v>36000</v>
      </c>
      <c r="AE66">
        <f t="shared" si="13"/>
        <v>36000</v>
      </c>
    </row>
    <row r="67" spans="7:31" x14ac:dyDescent="0.3">
      <c r="G67" s="2"/>
      <c r="H67" s="11"/>
      <c r="K67" s="56"/>
      <c r="L67" s="85"/>
      <c r="M67" s="85"/>
      <c r="N67" s="85"/>
      <c r="O67" s="85"/>
      <c r="P67" s="85"/>
      <c r="Q67" s="85"/>
      <c r="R67" s="85"/>
      <c r="AD67">
        <f t="shared" si="12"/>
        <v>37000</v>
      </c>
      <c r="AE67">
        <f t="shared" si="13"/>
        <v>37000</v>
      </c>
    </row>
    <row r="68" spans="7:31" x14ac:dyDescent="0.3">
      <c r="G68" s="2"/>
      <c r="H68" s="11"/>
      <c r="K68" s="56"/>
      <c r="L68" s="85"/>
      <c r="M68" s="85"/>
      <c r="N68" s="85"/>
      <c r="O68" s="85"/>
      <c r="P68" s="85"/>
      <c r="Q68" s="85"/>
      <c r="R68" s="85"/>
      <c r="AD68">
        <f t="shared" si="12"/>
        <v>38000</v>
      </c>
      <c r="AE68">
        <f t="shared" si="13"/>
        <v>38000</v>
      </c>
    </row>
    <row r="69" spans="7:31" x14ac:dyDescent="0.3">
      <c r="G69" s="2"/>
      <c r="H69" s="11"/>
      <c r="K69" s="56"/>
      <c r="L69" s="85"/>
      <c r="M69" s="85"/>
      <c r="N69" s="85"/>
      <c r="O69" s="85"/>
      <c r="P69" s="85"/>
      <c r="Q69" s="85"/>
      <c r="R69" s="85"/>
      <c r="AD69">
        <f t="shared" si="12"/>
        <v>39000</v>
      </c>
      <c r="AE69">
        <f t="shared" si="13"/>
        <v>39000</v>
      </c>
    </row>
    <row r="70" spans="7:31" x14ac:dyDescent="0.3">
      <c r="G70" s="2"/>
      <c r="H70" s="11"/>
      <c r="K70" s="56"/>
      <c r="L70" s="85"/>
      <c r="M70" s="85"/>
      <c r="N70" s="85"/>
      <c r="O70" s="85"/>
      <c r="P70" s="85"/>
      <c r="Q70" s="85"/>
      <c r="R70" s="85"/>
      <c r="AD70">
        <f t="shared" si="12"/>
        <v>40000</v>
      </c>
      <c r="AE70">
        <f t="shared" si="13"/>
        <v>40000</v>
      </c>
    </row>
    <row r="71" spans="7:31" x14ac:dyDescent="0.3">
      <c r="G71" s="2"/>
      <c r="H71" s="11"/>
      <c r="K71" s="56"/>
      <c r="L71" s="85"/>
      <c r="M71" s="85"/>
      <c r="N71" s="85"/>
      <c r="O71" s="86"/>
      <c r="P71" s="85"/>
      <c r="Q71" s="85"/>
      <c r="R71" s="85"/>
    </row>
    <row r="72" spans="7:31" x14ac:dyDescent="0.3">
      <c r="G72" s="2"/>
      <c r="H72" s="11"/>
      <c r="K72" s="56"/>
      <c r="L72" s="85"/>
      <c r="M72" s="85"/>
      <c r="N72" s="87"/>
      <c r="O72" s="86"/>
      <c r="P72" s="85"/>
      <c r="Q72" s="90"/>
      <c r="R72" s="85"/>
    </row>
    <row r="73" spans="7:31" x14ac:dyDescent="0.3">
      <c r="G73" s="2"/>
      <c r="H73" s="11"/>
      <c r="K73" s="56"/>
      <c r="L73" s="85"/>
      <c r="M73" s="85"/>
      <c r="N73" s="85"/>
      <c r="O73" s="86"/>
      <c r="P73" s="85"/>
      <c r="Q73" s="85"/>
      <c r="R73" s="85"/>
    </row>
    <row r="74" spans="7:31" x14ac:dyDescent="0.3">
      <c r="G74" s="2"/>
      <c r="H74" s="11"/>
      <c r="K74" s="56"/>
      <c r="L74" s="85"/>
      <c r="M74" s="85"/>
      <c r="N74" s="85"/>
      <c r="O74" s="86"/>
      <c r="P74" s="88"/>
      <c r="Q74" s="85"/>
      <c r="R74" s="85"/>
    </row>
    <row r="75" spans="7:31" x14ac:dyDescent="0.3">
      <c r="G75" s="2"/>
      <c r="H75" s="11"/>
      <c r="K75" s="56"/>
      <c r="L75" s="85"/>
      <c r="M75" s="85"/>
      <c r="N75" s="85"/>
      <c r="O75" s="86"/>
      <c r="P75" s="85"/>
      <c r="Q75" s="85"/>
      <c r="R75" s="85"/>
    </row>
    <row r="76" spans="7:31" x14ac:dyDescent="0.3">
      <c r="G76" s="2"/>
      <c r="H76" s="11"/>
      <c r="K76" s="56"/>
      <c r="L76" s="85"/>
      <c r="M76" s="85"/>
      <c r="N76" s="85"/>
      <c r="O76" s="85"/>
      <c r="P76" s="85"/>
      <c r="Q76" s="85"/>
      <c r="R76" s="85"/>
    </row>
    <row r="77" spans="7:31" x14ac:dyDescent="0.3">
      <c r="G77" s="2"/>
      <c r="H77" s="11"/>
      <c r="K77" s="56"/>
      <c r="L77" s="85"/>
      <c r="M77" s="85"/>
      <c r="N77" s="85"/>
      <c r="O77" s="89"/>
      <c r="P77" s="85"/>
      <c r="Q77" s="85"/>
      <c r="R77" s="85"/>
    </row>
    <row r="78" spans="7:31" x14ac:dyDescent="0.3">
      <c r="G78" s="2"/>
      <c r="H78" s="11"/>
      <c r="K78" s="56"/>
      <c r="L78" s="85"/>
      <c r="M78" s="85"/>
      <c r="N78" s="85"/>
      <c r="O78" s="89"/>
      <c r="P78" s="85"/>
      <c r="Q78" s="85"/>
      <c r="R78" s="85"/>
    </row>
    <row r="79" spans="7:31" x14ac:dyDescent="0.3">
      <c r="G79" s="2"/>
      <c r="H79" s="11"/>
      <c r="K79" s="56"/>
      <c r="L79" s="85"/>
      <c r="M79" s="85"/>
      <c r="N79" s="85"/>
      <c r="O79" s="89"/>
      <c r="P79" s="85"/>
      <c r="Q79" s="85"/>
      <c r="R79" s="85"/>
    </row>
    <row r="80" spans="7:31" x14ac:dyDescent="0.3">
      <c r="G80" s="2"/>
      <c r="H80" s="11"/>
      <c r="K80" s="56"/>
      <c r="L80" s="85"/>
      <c r="M80" s="85"/>
      <c r="N80" s="85"/>
      <c r="O80" s="89"/>
      <c r="P80" s="85"/>
      <c r="Q80" s="85"/>
      <c r="R80" s="85"/>
    </row>
    <row r="81" spans="7:18" x14ac:dyDescent="0.3">
      <c r="G81" s="2"/>
      <c r="H81" s="11"/>
      <c r="K81" s="56"/>
      <c r="L81" s="85"/>
      <c r="M81" s="85"/>
      <c r="N81" s="85"/>
      <c r="O81" s="85"/>
      <c r="P81" s="85"/>
      <c r="Q81" s="85"/>
      <c r="R81" s="85"/>
    </row>
    <row r="82" spans="7:18" x14ac:dyDescent="0.3">
      <c r="G82" s="2"/>
      <c r="H82" s="11"/>
      <c r="L82" s="85"/>
      <c r="M82" s="85"/>
      <c r="N82" s="85"/>
      <c r="O82" s="85"/>
      <c r="P82" s="85"/>
      <c r="Q82" s="85"/>
      <c r="R82" s="85"/>
    </row>
    <row r="83" spans="7:18" x14ac:dyDescent="0.3">
      <c r="G83" s="2"/>
      <c r="H83" s="11"/>
    </row>
    <row r="84" spans="7:18" x14ac:dyDescent="0.3">
      <c r="G84" s="2"/>
      <c r="H84" s="11"/>
    </row>
    <row r="85" spans="7:18" x14ac:dyDescent="0.3">
      <c r="G85" s="2"/>
      <c r="H85" s="11"/>
    </row>
    <row r="86" spans="7:18" x14ac:dyDescent="0.3">
      <c r="G86" s="2"/>
      <c r="H86" s="11"/>
    </row>
    <row r="87" spans="7:18" x14ac:dyDescent="0.3">
      <c r="G87" s="2"/>
      <c r="H87" s="11"/>
    </row>
    <row r="88" spans="7:18" x14ac:dyDescent="0.3">
      <c r="G88" s="2"/>
      <c r="H88" s="11"/>
    </row>
    <row r="89" spans="7:18" x14ac:dyDescent="0.3">
      <c r="G89" s="2"/>
      <c r="H89" s="11"/>
    </row>
    <row r="90" spans="7:18" x14ac:dyDescent="0.3">
      <c r="G90" s="2"/>
      <c r="H90" s="11"/>
    </row>
    <row r="91" spans="7:18" x14ac:dyDescent="0.3">
      <c r="G91"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fcs</vt:lpstr>
      <vt:lpstr>for_gb</vt:lpstr>
      <vt:lpstr>Model_parameters</vt:lpstr>
      <vt:lpstr>Summary_Table</vt:lpstr>
      <vt:lpstr>S-R_analysis_SMU</vt:lpstr>
      <vt:lpstr>S-R SWVI</vt:lpstr>
      <vt:lpstr>S-R_NO_KY</vt:lpstr>
      <vt:lpstr>S-R-NWV(</vt:lpstr>
      <vt:lpstr>habitat_bench</vt:lpstr>
      <vt:lpstr>raw_esc_est</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Lewis, Dawn</cp:lastModifiedBy>
  <dcterms:created xsi:type="dcterms:W3CDTF">2017-12-13T17:53:38Z</dcterms:created>
  <dcterms:modified xsi:type="dcterms:W3CDTF">2021-07-07T21:08:02Z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2021-06-26T19:56:18Z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a7f31a63-ef2f-42c2-afca-0000c206deea</vt:lpwstr>
  </property>
</Properties>
</file>