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J:\JH PROPERTIES\COCONUT GROVE\MONTHLY REPORTS\2026\07.26\"/>
    </mc:Choice>
  </mc:AlternateContent>
  <xr:revisionPtr revIDLastSave="0" documentId="8_{464721DF-5F08-43CA-A856-C44E0006857F}" xr6:coauthVersionLast="47" xr6:coauthVersionMax="47" xr10:uidLastSave="{00000000-0000-0000-0000-000000000000}"/>
  <bookViews>
    <workbookView xWindow="28680" yWindow="-120" windowWidth="29040" windowHeight="15720" tabRatio="924" firstSheet="74" activeTab="74" xr2:uid="{00000000-000D-0000-FFFF-FFFF00000000}"/>
  </bookViews>
  <sheets>
    <sheet name="Pet-cash" sheetId="1" state="hidden" r:id="rId1"/>
    <sheet name="Bank Rec" sheetId="28" state="hidden" r:id="rId2"/>
    <sheet name="Sec-Dep" sheetId="2" state="hidden" r:id="rId3"/>
    <sheet name="Util-Dep" sheetId="3" state="hidden" r:id="rId4"/>
    <sheet name="All-Doubt" sheetId="4" state="hidden" r:id="rId5"/>
    <sheet name="Bad-D" sheetId="5" state="hidden" r:id="rId6"/>
    <sheet name="Receiv" sheetId="8" state="hidden" r:id="rId7"/>
    <sheet name="PreP-Ins" sheetId="29" state="hidden" r:id="rId8"/>
    <sheet name="PreP-Other" sheetId="10" state="hidden" r:id="rId9"/>
    <sheet name="O-Asset" sheetId="11" state="hidden" r:id="rId10"/>
    <sheet name="TT-Costs" sheetId="31" state="hidden" r:id="rId11"/>
    <sheet name="Leas-Costs" sheetId="12" state="hidden" r:id="rId12"/>
    <sheet name="Amort-Leas" sheetId="13" state="hidden" r:id="rId13"/>
    <sheet name="Amort-Finance" sheetId="30" state="hidden" r:id="rId14"/>
    <sheet name="Free-R" sheetId="14" state="hidden" r:id="rId15"/>
    <sheet name="Accr-Sale" sheetId="15" state="hidden" r:id="rId16"/>
    <sheet name="Accr-Leas" sheetId="16" state="hidden" r:id="rId17"/>
    <sheet name="Mgmt-Fee" sheetId="19" state="hidden" r:id="rId18"/>
    <sheet name="Accr Ins" sheetId="9" state="hidden" r:id="rId19"/>
    <sheet name="O-Liabil" sheetId="18" state="hidden" r:id="rId20"/>
    <sheet name="Legal-Fee" sheetId="20" state="hidden" r:id="rId21"/>
    <sheet name="Leas-Costs (2)" sheetId="24" state="hidden" r:id="rId22"/>
    <sheet name="Legal-Fee (2)" sheetId="25" state="hidden" r:id="rId23"/>
    <sheet name="Fixed" sheetId="26" state="hidden" r:id="rId24"/>
    <sheet name="Chk list" sheetId="22" state="hidden" r:id="rId25"/>
    <sheet name="10420" sheetId="88" state="hidden" r:id="rId26"/>
    <sheet name="Review Comments" sheetId="41" r:id="rId27"/>
    <sheet name="TB " sheetId="103" state="hidden" r:id="rId28"/>
    <sheet name="10410" sheetId="90" state="hidden" r:id="rId29"/>
    <sheet name="10530" sheetId="72" state="hidden" r:id="rId30"/>
    <sheet name="10450" sheetId="91" state="hidden" r:id="rId31"/>
    <sheet name="10460" sheetId="89" state="hidden" r:id="rId32"/>
    <sheet name="10470" sheetId="63" state="hidden" r:id="rId33"/>
    <sheet name="10490" sheetId="74" state="hidden" r:id="rId34"/>
    <sheet name="Summary" sheetId="107" state="hidden" r:id="rId35"/>
    <sheet name="12020" sheetId="79" state="hidden" r:id="rId36"/>
    <sheet name="13000 (2)" sheetId="96" state="hidden" r:id="rId37"/>
    <sheet name="12410" sheetId="73" state="hidden" r:id="rId38"/>
    <sheet name="12500" sheetId="78" state="hidden" r:id="rId39"/>
    <sheet name="12410 " sheetId="97" r:id="rId40"/>
    <sheet name="12100" sheetId="99" r:id="rId41"/>
    <sheet name="13000" sheetId="57" r:id="rId42"/>
    <sheet name="13100" sheetId="54" r:id="rId43"/>
    <sheet name="13130" sheetId="92" state="hidden" r:id="rId44"/>
    <sheet name="Fixed Asset" sheetId="36" r:id="rId45"/>
    <sheet name="16500" sheetId="111" r:id="rId46"/>
    <sheet name="17600" sheetId="110" r:id="rId47"/>
    <sheet name="15500" sheetId="66" state="hidden" r:id="rId48"/>
    <sheet name="13000-" sheetId="71" state="hidden" r:id="rId49"/>
    <sheet name="17650" sheetId="100" state="hidden" r:id="rId50"/>
    <sheet name="12530" sheetId="101" state="hidden" r:id="rId51"/>
    <sheet name="20100" sheetId="98" r:id="rId52"/>
    <sheet name="20650" sheetId="109" r:id="rId53"/>
    <sheet name="20650 old" sheetId="83" state="hidden" r:id="rId54"/>
    <sheet name="20620" sheetId="75" state="hidden" r:id="rId55"/>
    <sheet name="26300" sheetId="80" state="hidden" r:id="rId56"/>
    <sheet name="20110" sheetId="76" state="hidden" r:id="rId57"/>
    <sheet name="25300" sheetId="42" state="hidden" r:id="rId58"/>
    <sheet name="Equity" sheetId="52" state="hidden" r:id="rId59"/>
    <sheet name="25420" sheetId="102" r:id="rId60"/>
    <sheet name="25500" sheetId="93" r:id="rId61"/>
    <sheet name="20660" sheetId="95" r:id="rId62"/>
    <sheet name="35000" sheetId="58" r:id="rId63"/>
    <sheet name="36000" sheetId="94" r:id="rId64"/>
    <sheet name="Insurance" sheetId="32" state="hidden" r:id="rId65"/>
    <sheet name="INS PH 2 " sheetId="86" state="hidden" r:id="rId66"/>
    <sheet name="Note" sheetId="59" state="hidden" r:id="rId67"/>
    <sheet name="Variance" sheetId="33" state="hidden" r:id="rId68"/>
    <sheet name="Sheet2" sheetId="45" state="hidden" r:id="rId69"/>
    <sheet name="Tax PH2" sheetId="87" state="hidden" r:id="rId70"/>
    <sheet name="36100" sheetId="81" state="hidden" r:id="rId71"/>
    <sheet name="Tax " sheetId="67" r:id="rId72"/>
    <sheet name="INSURANCE " sheetId="70" r:id="rId73"/>
    <sheet name="Notes" sheetId="85" r:id="rId74"/>
    <sheet name="Cash Income" sheetId="84" r:id="rId75"/>
    <sheet name="IS" sheetId="104" r:id="rId76"/>
    <sheet name="CM Ledger" sheetId="105" r:id="rId77"/>
    <sheet name="Tenant Credits" sheetId="82" state="hidden" r:id="rId78"/>
    <sheet name="INCOME VAR" sheetId="60" state="hidden" r:id="rId79"/>
  </sheets>
  <definedNames>
    <definedName name="_1" localSheetId="34">#REF!</definedName>
    <definedName name="_1">#REF!</definedName>
    <definedName name="_1_245118304" localSheetId="28">#REF!</definedName>
    <definedName name="_1_245118304">#REF!</definedName>
    <definedName name="_10" localSheetId="28">#REF!</definedName>
    <definedName name="_10" localSheetId="32">#REF!</definedName>
    <definedName name="_10" localSheetId="33">#REF!</definedName>
    <definedName name="_10" localSheetId="29">#REF!</definedName>
    <definedName name="_10" localSheetId="35">#REF!</definedName>
    <definedName name="_10" localSheetId="38">#REF!</definedName>
    <definedName name="_10" localSheetId="47">#REF!</definedName>
    <definedName name="_10" localSheetId="56">#REF!</definedName>
    <definedName name="_10" localSheetId="54">#REF!</definedName>
    <definedName name="_10">#REF!</definedName>
    <definedName name="_10_245118304">#REF!</definedName>
    <definedName name="_10_245118304BDR">#REF!</definedName>
    <definedName name="_11_245118304BDR" localSheetId="28">#REF!</definedName>
    <definedName name="_12_245118304BDR" localSheetId="32">#REF!</definedName>
    <definedName name="_13_245118304BDR" localSheetId="33">#REF!</definedName>
    <definedName name="_14_245118304BDR" localSheetId="29">#REF!</definedName>
    <definedName name="_14_245118304BDR">#REF!</definedName>
    <definedName name="_15_245118304BDR" localSheetId="35">#REF!</definedName>
    <definedName name="_15_265329000">#REF!</definedName>
    <definedName name="_16_245118304BDR" localSheetId="38">#REF!</definedName>
    <definedName name="_17_245118304BDR" localSheetId="47">#REF!</definedName>
    <definedName name="_18_245118304BDR" localSheetId="56">#REF!</definedName>
    <definedName name="_19_245118304BDR" localSheetId="54">#REF!</definedName>
    <definedName name="_2" localSheetId="34">#REF!</definedName>
    <definedName name="_2">#REF!</definedName>
    <definedName name="_2_245118304" localSheetId="32">#REF!</definedName>
    <definedName name="_2_245118304BDR">#REF!</definedName>
    <definedName name="_20_245118304BDR">#REF!</definedName>
    <definedName name="_21_265329000" localSheetId="28">#REF!</definedName>
    <definedName name="_21_265329000">#REF!</definedName>
    <definedName name="_22_265329000" localSheetId="32">#REF!</definedName>
    <definedName name="_23_265329000" localSheetId="33">#REF!</definedName>
    <definedName name="_24_265329000" localSheetId="29">#REF!</definedName>
    <definedName name="_25_265329000" localSheetId="35">#REF!</definedName>
    <definedName name="_26_265329000" localSheetId="38">#REF!</definedName>
    <definedName name="_27_265329000" localSheetId="47">#REF!</definedName>
    <definedName name="_28_265329000" localSheetId="56">#REF!</definedName>
    <definedName name="_29_265329000" localSheetId="54">#REF!</definedName>
    <definedName name="_3_245118304" localSheetId="33">#REF!</definedName>
    <definedName name="_3_265329000">#REF!</definedName>
    <definedName name="_30_265329000">#REF!</definedName>
    <definedName name="_4_245118304" localSheetId="29">#REF!</definedName>
    <definedName name="_5_245118304" localSheetId="35">#REF!</definedName>
    <definedName name="_5_245118304">#REF!</definedName>
    <definedName name="_6_245118304" localSheetId="38">#REF!</definedName>
    <definedName name="_7_245118304" localSheetId="47">#REF!</definedName>
    <definedName name="_7_245118304">#REF!</definedName>
    <definedName name="_8_245118304" localSheetId="56">#REF!</definedName>
    <definedName name="_9_245118304" localSheetId="54">#REF!</definedName>
    <definedName name="_dat1" localSheetId="34">#REF!</definedName>
    <definedName name="_dat1">#REF!</definedName>
    <definedName name="_xlnm._FilterDatabase" localSheetId="52" hidden="1">'20650'!$A$6:$U$45</definedName>
    <definedName name="_xlnm._FilterDatabase" localSheetId="74" hidden="1">'Cash Income'!$A$2:$F$18</definedName>
    <definedName name="_Key1" localSheetId="28" hidden="1">#REF!</definedName>
    <definedName name="_Key1" localSheetId="32" hidden="1">#REF!</definedName>
    <definedName name="_Key1" localSheetId="33" hidden="1">#REF!</definedName>
    <definedName name="_Key1" localSheetId="29" hidden="1">#REF!</definedName>
    <definedName name="_Key1" localSheetId="35" hidden="1">#REF!</definedName>
    <definedName name="_Key1" localSheetId="38" hidden="1">#REF!</definedName>
    <definedName name="_Key1" localSheetId="47" hidden="1">#REF!</definedName>
    <definedName name="_Key1" localSheetId="56" hidden="1">#REF!</definedName>
    <definedName name="_Key1" localSheetId="54" hidden="1">#REF!</definedName>
    <definedName name="_Key1" hidden="1">#REF!</definedName>
    <definedName name="_Order1" hidden="1">255</definedName>
    <definedName name="_Sort" localSheetId="28" hidden="1">#REF!</definedName>
    <definedName name="_Sort" localSheetId="32" hidden="1">#REF!</definedName>
    <definedName name="_Sort" localSheetId="33" hidden="1">#REF!</definedName>
    <definedName name="_Sort" localSheetId="29" hidden="1">#REF!</definedName>
    <definedName name="_Sort" localSheetId="35" hidden="1">#REF!</definedName>
    <definedName name="_Sort" localSheetId="38" hidden="1">#REF!</definedName>
    <definedName name="_Sort" localSheetId="47" hidden="1">#REF!</definedName>
    <definedName name="_Sort" localSheetId="56" hidden="1">#REF!</definedName>
    <definedName name="_Sort" localSheetId="54" hidden="1">#REF!</definedName>
    <definedName name="_Sort" hidden="1">#REF!</definedName>
    <definedName name="A" hidden="1">#REF!</definedName>
    <definedName name="account_data" localSheetId="34">#REF!</definedName>
    <definedName name="account_data">#REF!</definedName>
    <definedName name="Actual_Sqft" localSheetId="28">#REF!</definedName>
    <definedName name="Actual_Sqft" localSheetId="32">#REF!</definedName>
    <definedName name="Actual_Sqft" localSheetId="33">#REF!</definedName>
    <definedName name="Actual_Sqft" localSheetId="29">#REF!</definedName>
    <definedName name="Actual_Sqft" localSheetId="35">#REF!</definedName>
    <definedName name="Actual_Sqft" localSheetId="38">#REF!</definedName>
    <definedName name="Actual_Sqft" localSheetId="47">#REF!</definedName>
    <definedName name="Actual_Sqft" localSheetId="56">#REF!</definedName>
    <definedName name="Actual_Sqft" localSheetId="54">#REF!</definedName>
    <definedName name="Actual_Sqft" localSheetId="34">#REF!</definedName>
    <definedName name="Actual_Sqft">#REF!</definedName>
    <definedName name="amt_class_type_data" localSheetId="34">#REF!</definedName>
    <definedName name="amt_class_type_data">#REF!</definedName>
    <definedName name="amy" localSheetId="34">#REF!</definedName>
    <definedName name="amy">#REF!</definedName>
    <definedName name="annual_data" localSheetId="34">#REF!</definedName>
    <definedName name="annual_data">#REF!</definedName>
    <definedName name="B" hidden="1">#REF!</definedName>
    <definedName name="Bay" localSheetId="34">#REF!</definedName>
    <definedName name="Bay">#REF!</definedName>
    <definedName name="Bayside" localSheetId="28">#REF!</definedName>
    <definedName name="Bayside" localSheetId="32">#REF!</definedName>
    <definedName name="Bayside" localSheetId="33">#REF!</definedName>
    <definedName name="Bayside" localSheetId="29">#REF!</definedName>
    <definedName name="Bayside" localSheetId="35">#REF!</definedName>
    <definedName name="Bayside" localSheetId="38">#REF!</definedName>
    <definedName name="Bayside" localSheetId="47">#REF!</definedName>
    <definedName name="Bayside" localSheetId="56">#REF!</definedName>
    <definedName name="Bayside" localSheetId="54">#REF!</definedName>
    <definedName name="Bayside">#REF!</definedName>
    <definedName name="BS" localSheetId="28">#REF!</definedName>
    <definedName name="BS" localSheetId="32">#REF!</definedName>
    <definedName name="BS" localSheetId="33">#REF!</definedName>
    <definedName name="BS" localSheetId="29">#REF!</definedName>
    <definedName name="BS" localSheetId="35">#REF!</definedName>
    <definedName name="BS" localSheetId="38">#REF!</definedName>
    <definedName name="BS" localSheetId="47">#REF!</definedName>
    <definedName name="BS" localSheetId="56">#REF!</definedName>
    <definedName name="BS" localSheetId="54">#REF!</definedName>
    <definedName name="BS">#REF!</definedName>
    <definedName name="Budget_Type" localSheetId="34">#REF!</definedName>
    <definedName name="Budget_Type">#REF!</definedName>
    <definedName name="CC_Name" localSheetId="34">#REF!</definedName>
    <definedName name="CC_Name">#REF!</definedName>
    <definedName name="cdm" localSheetId="34">#REF!</definedName>
    <definedName name="cdm">#REF!</definedName>
    <definedName name="coral" localSheetId="34">#REF!</definedName>
    <definedName name="coral">#REF!</definedName>
    <definedName name="CULVER" localSheetId="34">#REF!</definedName>
    <definedName name="CULVER">#REF!</definedName>
    <definedName name="dat" localSheetId="34">#REF!</definedName>
    <definedName name="dat">#REF!</definedName>
    <definedName name="data" localSheetId="34">#REF!</definedName>
    <definedName name="data">#REF!</definedName>
    <definedName name="DATA01" localSheetId="34">#REF!</definedName>
    <definedName name="DATA01">#REF!</definedName>
    <definedName name="DATA02" localSheetId="34">#REF!</definedName>
    <definedName name="DATA02">#REF!</definedName>
    <definedName name="data03" localSheetId="34">#REF!</definedName>
    <definedName name="data03">#REF!</definedName>
    <definedName name="data04" localSheetId="34">#REF!</definedName>
    <definedName name="data04">#REF!</definedName>
    <definedName name="data07" localSheetId="34">#REF!</definedName>
    <definedName name="data07">#REF!</definedName>
    <definedName name="data08" localSheetId="34">#REF!</definedName>
    <definedName name="data08">#REF!</definedName>
    <definedName name="data1" localSheetId="34">#REF!</definedName>
    <definedName name="data1">#REF!</definedName>
    <definedName name="data2" localSheetId="28">#REF!</definedName>
    <definedName name="data2" localSheetId="32">#REF!</definedName>
    <definedName name="data2" localSheetId="33">#REF!</definedName>
    <definedName name="data2" localSheetId="29">#REF!</definedName>
    <definedName name="data2" localSheetId="35">#REF!</definedName>
    <definedName name="data2" localSheetId="38">#REF!</definedName>
    <definedName name="data2" localSheetId="47">#REF!</definedName>
    <definedName name="data2" localSheetId="56">#REF!</definedName>
    <definedName name="data2" localSheetId="54">#REF!</definedName>
    <definedName name="data2">#REF!</definedName>
    <definedName name="data20" localSheetId="34">#REF!</definedName>
    <definedName name="data20">#REF!</definedName>
    <definedName name="data22" localSheetId="34">#REF!</definedName>
    <definedName name="data22">#REF!</definedName>
    <definedName name="data23" localSheetId="34">#REF!</definedName>
    <definedName name="data23">#REF!</definedName>
    <definedName name="data3" localSheetId="34">#REF!</definedName>
    <definedName name="data3">#REF!</definedName>
    <definedName name="data4" localSheetId="34">#REF!</definedName>
    <definedName name="data4">#REF!</definedName>
    <definedName name="data5" localSheetId="34">#REF!</definedName>
    <definedName name="data5">#REF!</definedName>
    <definedName name="data6" localSheetId="34">#REF!</definedName>
    <definedName name="data6">#REF!</definedName>
    <definedName name="data9" localSheetId="34">#REF!</definedName>
    <definedName name="data9">#REF!</definedName>
    <definedName name="datacc" localSheetId="34">#REF!</definedName>
    <definedName name="datacc">#REF!</definedName>
    <definedName name="datahv" localSheetId="34">#REF!</definedName>
    <definedName name="datahv">#REF!</definedName>
    <definedName name="datanh" localSheetId="34">#REF!</definedName>
    <definedName name="datanh">#REF!</definedName>
    <definedName name="dataNov11" localSheetId="34">#REF!</definedName>
    <definedName name="dataNov11">#REF!</definedName>
    <definedName name="dataNov12" localSheetId="34">#REF!</definedName>
    <definedName name="dataNov12">#REF!</definedName>
    <definedName name="dataNov13" localSheetId="34">#REF!</definedName>
    <definedName name="dataNov13">#REF!</definedName>
    <definedName name="dataNov4" localSheetId="34">#REF!</definedName>
    <definedName name="dataNov4">#REF!</definedName>
    <definedName name="dataNov6" localSheetId="34">#REF!</definedName>
    <definedName name="dataNov6">#REF!</definedName>
    <definedName name="dataNov7" localSheetId="34">#REF!</definedName>
    <definedName name="dataNov7">#REF!</definedName>
    <definedName name="dataNov8" localSheetId="34">#REF!</definedName>
    <definedName name="dataNov8">#REF!</definedName>
    <definedName name="datcdm" localSheetId="34">#REF!</definedName>
    <definedName name="datcdm">#REF!</definedName>
    <definedName name="Fiscal_yr" localSheetId="34">#REF!</definedName>
    <definedName name="Fiscal_yr">#REF!</definedName>
    <definedName name="Forecast">#REF!</definedName>
    <definedName name="FRANCOLI" localSheetId="28">#REF!</definedName>
    <definedName name="FRANCOLI" localSheetId="32">#REF!</definedName>
    <definedName name="FRANCOLI" localSheetId="33">#REF!</definedName>
    <definedName name="FRANCOLI" localSheetId="29">#REF!</definedName>
    <definedName name="FRANCOLI" localSheetId="35">#REF!</definedName>
    <definedName name="FRANCOLI" localSheetId="38">#REF!</definedName>
    <definedName name="FRANCOLI" localSheetId="47">#REF!</definedName>
    <definedName name="FRANCOLI" localSheetId="56">#REF!</definedName>
    <definedName name="FRANCOLI" localSheetId="54">#REF!</definedName>
    <definedName name="FRANCOLI">#REF!</definedName>
    <definedName name="fy_data" localSheetId="34">#REF!</definedName>
    <definedName name="fy_data">#REF!</definedName>
    <definedName name="HV" localSheetId="34">#REF!</definedName>
    <definedName name="HV">#REF!</definedName>
    <definedName name="hvhvhv" localSheetId="34">#REF!</definedName>
    <definedName name="hvhvhv">#REF!</definedName>
    <definedName name="Info" localSheetId="28">#REF!</definedName>
    <definedName name="Info" localSheetId="32">#REF!</definedName>
    <definedName name="Info" localSheetId="33">#REF!</definedName>
    <definedName name="Info" localSheetId="29">#REF!</definedName>
    <definedName name="Info" localSheetId="35">#REF!</definedName>
    <definedName name="Info" localSheetId="38">#REF!</definedName>
    <definedName name="Info" localSheetId="47">#REF!</definedName>
    <definedName name="Info" localSheetId="56">#REF!</definedName>
    <definedName name="Info" localSheetId="54">#REF!</definedName>
    <definedName name="Info">#REF!</definedName>
    <definedName name="inlineoccb" localSheetId="28">#REF!</definedName>
    <definedName name="inlineoccb" localSheetId="32">#REF!</definedName>
    <definedName name="inlineoccb" localSheetId="33">#REF!</definedName>
    <definedName name="inlineoccb" localSheetId="29">#REF!</definedName>
    <definedName name="inlineoccb" localSheetId="35">#REF!</definedName>
    <definedName name="inlineoccb" localSheetId="38">#REF!</definedName>
    <definedName name="inlineoccb" localSheetId="47">#REF!</definedName>
    <definedName name="inlineoccb" localSheetId="56">#REF!</definedName>
    <definedName name="inlineoccb" localSheetId="54">#REF!</definedName>
    <definedName name="inlineoccb" localSheetId="34">#REF!</definedName>
    <definedName name="inlineoccb">#REF!</definedName>
    <definedName name="inlineoccf" localSheetId="28">#REF!</definedName>
    <definedName name="inlineoccf" localSheetId="32">#REF!</definedName>
    <definedName name="inlineoccf" localSheetId="33">#REF!</definedName>
    <definedName name="inlineoccf" localSheetId="29">#REF!</definedName>
    <definedName name="inlineoccf" localSheetId="35">#REF!</definedName>
    <definedName name="inlineoccf" localSheetId="38">#REF!</definedName>
    <definedName name="inlineoccf" localSheetId="47">#REF!</definedName>
    <definedName name="inlineoccf" localSheetId="56">#REF!</definedName>
    <definedName name="inlineoccf" localSheetId="54">#REF!</definedName>
    <definedName name="inlineoccf" localSheetId="34">#REF!</definedName>
    <definedName name="inlineoccf">#REF!</definedName>
    <definedName name="inlinerateb" localSheetId="28">#REF!</definedName>
    <definedName name="inlinerateb" localSheetId="32">#REF!</definedName>
    <definedName name="inlinerateb" localSheetId="33">#REF!</definedName>
    <definedName name="inlinerateb" localSheetId="29">#REF!</definedName>
    <definedName name="inlinerateb" localSheetId="35">#REF!</definedName>
    <definedName name="inlinerateb" localSheetId="38">#REF!</definedName>
    <definedName name="inlinerateb" localSheetId="47">#REF!</definedName>
    <definedName name="inlinerateb" localSheetId="56">#REF!</definedName>
    <definedName name="inlinerateb" localSheetId="54">#REF!</definedName>
    <definedName name="inlinerateb" localSheetId="34">#REF!</definedName>
    <definedName name="inlinerateb">#REF!</definedName>
    <definedName name="inlineratef" localSheetId="28">#REF!</definedName>
    <definedName name="inlineratef" localSheetId="32">#REF!</definedName>
    <definedName name="inlineratef" localSheetId="33">#REF!</definedName>
    <definedName name="inlineratef" localSheetId="29">#REF!</definedName>
    <definedName name="inlineratef" localSheetId="35">#REF!</definedName>
    <definedName name="inlineratef" localSheetId="38">#REF!</definedName>
    <definedName name="inlineratef" localSheetId="47">#REF!</definedName>
    <definedName name="inlineratef" localSheetId="56">#REF!</definedName>
    <definedName name="inlineratef" localSheetId="54">#REF!</definedName>
    <definedName name="inlineratef" localSheetId="34">#REF!</definedName>
    <definedName name="inlineratef">#REF!</definedName>
    <definedName name="inlineratepy" localSheetId="28">#REF!</definedName>
    <definedName name="inlineratepy" localSheetId="32">#REF!</definedName>
    <definedName name="inlineratepy" localSheetId="33">#REF!</definedName>
    <definedName name="inlineratepy" localSheetId="29">#REF!</definedName>
    <definedName name="inlineratepy" localSheetId="35">#REF!</definedName>
    <definedName name="inlineratepy" localSheetId="38">#REF!</definedName>
    <definedName name="inlineratepy" localSheetId="47">#REF!</definedName>
    <definedName name="inlineratepy" localSheetId="56">#REF!</definedName>
    <definedName name="inlineratepy" localSheetId="54">#REF!</definedName>
    <definedName name="inlineratepy" localSheetId="34">#REF!</definedName>
    <definedName name="inlineratepy">#REF!</definedName>
    <definedName name="Month" localSheetId="28">#REF!</definedName>
    <definedName name="Month" localSheetId="32">#REF!</definedName>
    <definedName name="Month" localSheetId="33">#REF!</definedName>
    <definedName name="Month" localSheetId="29">#REF!</definedName>
    <definedName name="Month" localSheetId="35">#REF!</definedName>
    <definedName name="Month" localSheetId="38">#REF!</definedName>
    <definedName name="Month" localSheetId="47">#REF!</definedName>
    <definedName name="Month" localSheetId="56">#REF!</definedName>
    <definedName name="Month" localSheetId="54">#REF!</definedName>
    <definedName name="Month" localSheetId="34">#REF!</definedName>
    <definedName name="Month">#REF!</definedName>
    <definedName name="new" localSheetId="34">#REF!</definedName>
    <definedName name="new">#REF!</definedName>
    <definedName name="newportcoast" localSheetId="34">#REF!</definedName>
    <definedName name="newportcoast">#REF!</definedName>
    <definedName name="nh" localSheetId="34">#REF!</definedName>
    <definedName name="nh">#REF!</definedName>
    <definedName name="ovalloccf" localSheetId="28">#REF!</definedName>
    <definedName name="ovalloccf" localSheetId="32">#REF!</definedName>
    <definedName name="ovalloccf" localSheetId="33">#REF!</definedName>
    <definedName name="ovalloccf" localSheetId="29">#REF!</definedName>
    <definedName name="ovalloccf" localSheetId="35">#REF!</definedName>
    <definedName name="ovalloccf" localSheetId="38">#REF!</definedName>
    <definedName name="ovalloccf" localSheetId="47">#REF!</definedName>
    <definedName name="ovalloccf" localSheetId="56">#REF!</definedName>
    <definedName name="ovalloccf" localSheetId="54">#REF!</definedName>
    <definedName name="ovalloccf">#REF!</definedName>
    <definedName name="overalloccb" localSheetId="28">#REF!</definedName>
    <definedName name="overalloccb" localSheetId="32">#REF!</definedName>
    <definedName name="overalloccb" localSheetId="33">#REF!</definedName>
    <definedName name="overalloccb" localSheetId="29">#REF!</definedName>
    <definedName name="overalloccb" localSheetId="35">#REF!</definedName>
    <definedName name="overalloccb" localSheetId="38">#REF!</definedName>
    <definedName name="overalloccb" localSheetId="47">#REF!</definedName>
    <definedName name="overalloccb" localSheetId="56">#REF!</definedName>
    <definedName name="overalloccb" localSheetId="54">#REF!</definedName>
    <definedName name="overalloccb" localSheetId="34">#REF!</definedName>
    <definedName name="overalloccb">#REF!</definedName>
    <definedName name="overalloccf" localSheetId="28">#REF!</definedName>
    <definedName name="overalloccf" localSheetId="32">#REF!</definedName>
    <definedName name="overalloccf" localSheetId="33">#REF!</definedName>
    <definedName name="overalloccf" localSheetId="29">#REF!</definedName>
    <definedName name="overalloccf" localSheetId="35">#REF!</definedName>
    <definedName name="overalloccf" localSheetId="38">#REF!</definedName>
    <definedName name="overalloccf" localSheetId="47">#REF!</definedName>
    <definedName name="overalloccf" localSheetId="56">#REF!</definedName>
    <definedName name="overalloccf" localSheetId="54">#REF!</definedName>
    <definedName name="overalloccf" localSheetId="34">#REF!</definedName>
    <definedName name="overalloccf">#REF!</definedName>
    <definedName name="PERYR">#REF!</definedName>
    <definedName name="PRINT" localSheetId="28">#REF!</definedName>
    <definedName name="PRINT" localSheetId="32">#REF!</definedName>
    <definedName name="PRINT" localSheetId="33">#REF!</definedName>
    <definedName name="PRINT" localSheetId="29">#REF!</definedName>
    <definedName name="PRINT" localSheetId="35">#REF!</definedName>
    <definedName name="PRINT" localSheetId="38">#REF!</definedName>
    <definedName name="PRINT" localSheetId="47">#REF!</definedName>
    <definedName name="PRINT" localSheetId="56">#REF!</definedName>
    <definedName name="PRINT" localSheetId="54">#REF!</definedName>
    <definedName name="PRINT">#REF!</definedName>
    <definedName name="_xlnm.Print_Area" localSheetId="28">#REF!</definedName>
    <definedName name="_xlnm.Print_Area" localSheetId="32">#REF!</definedName>
    <definedName name="_xlnm.Print_Area" localSheetId="33">#REF!</definedName>
    <definedName name="_xlnm.Print_Area" localSheetId="29">#REF!</definedName>
    <definedName name="_xlnm.Print_Area" localSheetId="35">#REF!</definedName>
    <definedName name="_xlnm.Print_Area" localSheetId="37">'12410'!$A$1:$I$29</definedName>
    <definedName name="_xlnm.Print_Area" localSheetId="39">'12410 '!$A$1:$I$34</definedName>
    <definedName name="_xlnm.Print_Area" localSheetId="38">#REF!</definedName>
    <definedName name="_xlnm.Print_Area" localSheetId="42">'13100'!$A$1:$E$26</definedName>
    <definedName name="_xlnm.Print_Area" localSheetId="43">'13130'!$A$1:$E$19</definedName>
    <definedName name="_xlnm.Print_Area" localSheetId="47">#REF!</definedName>
    <definedName name="_xlnm.Print_Area" localSheetId="56">#REF!</definedName>
    <definedName name="_xlnm.Print_Area" localSheetId="54">#REF!</definedName>
    <definedName name="_xlnm.Print_Area" localSheetId="52">'20650'!$A$1:$U$39</definedName>
    <definedName name="_xlnm.Print_Area" localSheetId="53">'20650 old'!$A$1:$F$52</definedName>
    <definedName name="_xlnm.Print_Area" localSheetId="61">'20660'!$A$1:$G$45</definedName>
    <definedName name="_xlnm.Print_Area" localSheetId="18">'Accr Ins'!$A$1:$K$26</definedName>
    <definedName name="_xlnm.Print_Area" localSheetId="4">'All-Doubt'!$A$1:$D$40</definedName>
    <definedName name="_xlnm.Print_Area" localSheetId="5">'Bad-D'!$A$1:$D$33</definedName>
    <definedName name="_xlnm.Print_Area" localSheetId="9">'O-Asset'!$A$1:$E$31</definedName>
    <definedName name="_xlnm.Print_Area" localSheetId="19">'O-Liabil'!$A$1:$D$35</definedName>
    <definedName name="_xlnm.Print_Area" localSheetId="0">'Pet-cash'!$A$1:$J$49</definedName>
    <definedName name="_xlnm.Print_Area" localSheetId="7">'PreP-Ins'!$A$1:$M$35</definedName>
    <definedName name="_xlnm.Print_Area" localSheetId="8">'PreP-Other'!$A$1:$H$36</definedName>
    <definedName name="_xlnm.Print_Area" localSheetId="6">Receiv!$A$1:$D$29</definedName>
    <definedName name="_xlnm.Print_Area" localSheetId="2">'Sec-Dep'!$A$1:$G$44</definedName>
    <definedName name="_xlnm.Print_Area" localSheetId="10">'TT-Costs'!$A$1:$E$28</definedName>
    <definedName name="_xlnm.Print_Area" localSheetId="3">'Util-Dep'!$A$1:$I$33</definedName>
    <definedName name="_xlnm.Print_Area">#REF!</definedName>
    <definedName name="PRINT_AREA_MI" localSheetId="28">#REF!</definedName>
    <definedName name="Print_Area_MI" localSheetId="30">#REF!</definedName>
    <definedName name="PRINT_AREA_MI" localSheetId="32">#REF!</definedName>
    <definedName name="PRINT_AREA_MI" localSheetId="33">#REF!</definedName>
    <definedName name="PRINT_AREA_MI" localSheetId="29">#REF!</definedName>
    <definedName name="PRINT_AREA_MI" localSheetId="35">#REF!</definedName>
    <definedName name="PRINT_AREA_MI" localSheetId="38">#REF!</definedName>
    <definedName name="Print_Area_MI" localSheetId="48">#REF!</definedName>
    <definedName name="Print_Area_MI" localSheetId="42">#REF!</definedName>
    <definedName name="Print_Area_MI" localSheetId="43">#REF!</definedName>
    <definedName name="PRINT_AREA_MI" localSheetId="47">#REF!</definedName>
    <definedName name="PRINT_AREA_MI" localSheetId="56">#REF!</definedName>
    <definedName name="PRINT_AREA_MI" localSheetId="54">#REF!</definedName>
    <definedName name="Print_Area_MI" localSheetId="52">#REF!</definedName>
    <definedName name="Print_Area_MI" localSheetId="60">#REF!</definedName>
    <definedName name="Print_Area_MI" localSheetId="55">#REF!</definedName>
    <definedName name="Print_Area_MI" localSheetId="62">#REF!</definedName>
    <definedName name="Print_Area_MI" localSheetId="63">#REF!</definedName>
    <definedName name="Print_Area_MI" localSheetId="70">#REF!</definedName>
    <definedName name="Print_Area_MI" localSheetId="58">#REF!</definedName>
    <definedName name="Print_Area_MI" localSheetId="65">#REF!</definedName>
    <definedName name="Print_Area_MI" localSheetId="69">#REF!</definedName>
    <definedName name="Print_Area_MI">#REF!</definedName>
    <definedName name="_xlnm.Print_Titles">#N/A</definedName>
    <definedName name="PRINT_TITLES_MI" localSheetId="28">#REF!</definedName>
    <definedName name="PRINT_TITLES_MI" localSheetId="30">#REF!</definedName>
    <definedName name="PRINT_TITLES_MI" localSheetId="32">#REF!</definedName>
    <definedName name="PRINT_TITLES_MI" localSheetId="33">#REF!</definedName>
    <definedName name="PRINT_TITLES_MI" localSheetId="29">#REF!</definedName>
    <definedName name="PRINT_TITLES_MI" localSheetId="35">#REF!</definedName>
    <definedName name="PRINT_TITLES_MI" localSheetId="38">#REF!</definedName>
    <definedName name="PRINT_TITLES_MI" localSheetId="48">#REF!</definedName>
    <definedName name="PRINT_TITLES_MI" localSheetId="42">#REF!</definedName>
    <definedName name="PRINT_TITLES_MI" localSheetId="43">#REF!</definedName>
    <definedName name="PRINT_TITLES_MI" localSheetId="47">#REF!</definedName>
    <definedName name="PRINT_TITLES_MI" localSheetId="56">#REF!</definedName>
    <definedName name="PRINT_TITLES_MI" localSheetId="54">#REF!</definedName>
    <definedName name="PRINT_TITLES_MI" localSheetId="52">#REF!</definedName>
    <definedName name="PRINT_TITLES_MI" localSheetId="60">#REF!</definedName>
    <definedName name="PRINT_TITLES_MI" localSheetId="55">#REF!</definedName>
    <definedName name="PRINT_TITLES_MI" localSheetId="62">#REF!</definedName>
    <definedName name="PRINT_TITLES_MI" localSheetId="63">#REF!</definedName>
    <definedName name="PRINT_TITLES_MI" localSheetId="70">#REF!</definedName>
    <definedName name="PRINT_TITLES_MI" localSheetId="58">#REF!</definedName>
    <definedName name="PRINT_TITLES_MI" localSheetId="65">#REF!</definedName>
    <definedName name="PRINT_TITLES_MI" localSheetId="69">#REF!</definedName>
    <definedName name="PRINT_TITLES_MI">#REF!</definedName>
    <definedName name="Prior_Fiscal_yr" localSheetId="34">#REF!</definedName>
    <definedName name="Prior_Fiscal_yr">#REF!</definedName>
    <definedName name="PY" localSheetId="34">#REF!</definedName>
    <definedName name="PY">#REF!</definedName>
    <definedName name="RESTORATION" localSheetId="28">#REF!</definedName>
    <definedName name="RESTORATION" localSheetId="32">#REF!</definedName>
    <definedName name="RESTORATION" localSheetId="33">#REF!</definedName>
    <definedName name="RESTORATION" localSheetId="29">#REF!</definedName>
    <definedName name="RESTORATION" localSheetId="35">#REF!</definedName>
    <definedName name="RESTORATION" localSheetId="38">#REF!</definedName>
    <definedName name="RESTORATION" localSheetId="47">#REF!</definedName>
    <definedName name="RESTORATION" localSheetId="56">#REF!</definedName>
    <definedName name="RESTORATION" localSheetId="54">#REF!</definedName>
    <definedName name="RESTORATION">#REF!</definedName>
    <definedName name="ROWBOR" localSheetId="28">#REF!</definedName>
    <definedName name="ROWBOR" localSheetId="32">#REF!</definedName>
    <definedName name="ROWBOR" localSheetId="33">#REF!</definedName>
    <definedName name="ROWBOR" localSheetId="29">#REF!</definedName>
    <definedName name="ROWBOR" localSheetId="35">#REF!</definedName>
    <definedName name="ROWBOR" localSheetId="38">#REF!</definedName>
    <definedName name="ROWBOR" localSheetId="47">#REF!</definedName>
    <definedName name="ROWBOR" localSheetId="56">#REF!</definedName>
    <definedName name="ROWBOR" localSheetId="54">#REF!</definedName>
    <definedName name="ROWBOR">#REF!</definedName>
    <definedName name="rpt_data" localSheetId="34">#REF!</definedName>
    <definedName name="rpt_data">#REF!</definedName>
    <definedName name="source1" localSheetId="34">#REF!</definedName>
    <definedName name="source1">#REF!</definedName>
    <definedName name="source4" localSheetId="34">#REF!</definedName>
    <definedName name="source4">#REF!</definedName>
    <definedName name="source5" localSheetId="34">#REF!</definedName>
    <definedName name="source5">#REF!</definedName>
    <definedName name="source6" localSheetId="34">#REF!</definedName>
    <definedName name="source6">#REF!</definedName>
    <definedName name="sqft" localSheetId="28">#REF!</definedName>
    <definedName name="sqft" localSheetId="30">#REF!</definedName>
    <definedName name="sqft" localSheetId="32">#REF!</definedName>
    <definedName name="sqft" localSheetId="33">#REF!</definedName>
    <definedName name="sqft" localSheetId="29">#REF!</definedName>
    <definedName name="sqft" localSheetId="35">#REF!</definedName>
    <definedName name="sqft" localSheetId="38">#REF!</definedName>
    <definedName name="sqft" localSheetId="48">#REF!</definedName>
    <definedName name="sqft" localSheetId="42">#REF!</definedName>
    <definedName name="sqft" localSheetId="43">#REF!</definedName>
    <definedName name="sqft" localSheetId="47">#REF!</definedName>
    <definedName name="sqft" localSheetId="56">#REF!</definedName>
    <definedName name="sqft" localSheetId="54">#REF!</definedName>
    <definedName name="sqft" localSheetId="52">#REF!</definedName>
    <definedName name="sqft" localSheetId="60">#REF!</definedName>
    <definedName name="sqft" localSheetId="55">#REF!</definedName>
    <definedName name="sqft" localSheetId="62">#REF!</definedName>
    <definedName name="sqft" localSheetId="63">#REF!</definedName>
    <definedName name="sqft" localSheetId="70">#REF!</definedName>
    <definedName name="sqft" localSheetId="58">#REF!</definedName>
    <definedName name="sqft" localSheetId="65">#REF!</definedName>
    <definedName name="sqft" localSheetId="69">#REF!</definedName>
    <definedName name="sqft">#REF!</definedName>
    <definedName name="Suite_Data" localSheetId="28">#REF!</definedName>
    <definedName name="Suite_Data" localSheetId="32">#REF!</definedName>
    <definedName name="Suite_Data" localSheetId="33">#REF!</definedName>
    <definedName name="Suite_Data" localSheetId="29">#REF!</definedName>
    <definedName name="Suite_Data" localSheetId="35">#REF!</definedName>
    <definedName name="Suite_Data" localSheetId="38">#REF!</definedName>
    <definedName name="Suite_Data" localSheetId="47">#REF!</definedName>
    <definedName name="Suite_Data" localSheetId="56">#REF!</definedName>
    <definedName name="Suite_Data" localSheetId="54">#REF!</definedName>
    <definedName name="Suite_Data" localSheetId="34">#REF!</definedName>
    <definedName name="Suite_Data">#REF!</definedName>
    <definedName name="TIC" localSheetId="34">#REF!</definedName>
    <definedName name="TIC">#REF!</definedName>
    <definedName name="ticcc" localSheetId="34">#REF!</definedName>
    <definedName name="ticcc">#REF!</definedName>
    <definedName name="ticcdm" localSheetId="34">#REF!</definedName>
    <definedName name="ticcdm">#REF!</definedName>
    <definedName name="TICCO" localSheetId="34">#REF!</definedName>
    <definedName name="TICCO">#REF!</definedName>
    <definedName name="TICCOMM" localSheetId="34">#REF!</definedName>
    <definedName name="TICCOMM">#REF!</definedName>
    <definedName name="ticcp" localSheetId="34">#REF!</definedName>
    <definedName name="ticcp">#REF!</definedName>
    <definedName name="ticcu" localSheetId="34">#REF!</definedName>
    <definedName name="ticcu">#REF!</definedName>
    <definedName name="tichb" localSheetId="34">#REF!</definedName>
    <definedName name="tichb">#REF!</definedName>
    <definedName name="TICLAKE" localSheetId="34">#REF!</definedName>
    <definedName name="TICLAKE">#REF!</definedName>
    <definedName name="ticnh" localSheetId="34">#REF!</definedName>
    <definedName name="ticnh">#REF!</definedName>
    <definedName name="TICSC" localSheetId="34">#REF!</definedName>
    <definedName name="TICSC">#REF!</definedName>
    <definedName name="TICSQ" localSheetId="34">#REF!</definedName>
    <definedName name="TICSQ">#REF!</definedName>
    <definedName name="ticuc" localSheetId="34">#REF!</definedName>
    <definedName name="ticuc">#REF!</definedName>
    <definedName name="ticuniv" localSheetId="34">#REF!</definedName>
    <definedName name="ticuniv">#REF!</definedName>
    <definedName name="ticuniver" localSheetId="34">#REF!</definedName>
    <definedName name="ticuniver">#REF!</definedName>
    <definedName name="TICWA" localSheetId="34">#REF!</definedName>
    <definedName name="TICWA">#REF!</definedName>
    <definedName name="TICWB" localSheetId="34">#REF!</definedName>
    <definedName name="TICWB">#REF!</definedName>
    <definedName name="TICWP" localSheetId="34">#REF!</definedName>
    <definedName name="TICWP">#REF!</definedName>
    <definedName name="ticwv" localSheetId="34">#REF!</definedName>
    <definedName name="ticwv">#REF!</definedName>
    <definedName name="Type" localSheetId="28">#REF!</definedName>
    <definedName name="Type" localSheetId="32">#REF!</definedName>
    <definedName name="Type" localSheetId="33">#REF!</definedName>
    <definedName name="Type" localSheetId="29">#REF!</definedName>
    <definedName name="Type" localSheetId="35">#REF!</definedName>
    <definedName name="Type" localSheetId="38">#REF!</definedName>
    <definedName name="Type" localSheetId="47">#REF!</definedName>
    <definedName name="Type" localSheetId="56">#REF!</definedName>
    <definedName name="Type" localSheetId="54">#REF!</definedName>
    <definedName name="Type" localSheetId="34">#REF!</definedName>
    <definedName name="Type">#REF!</definedName>
    <definedName name="x" localSheetId="28">#REF!</definedName>
    <definedName name="x" localSheetId="32">#REF!</definedName>
    <definedName name="x" localSheetId="33">#REF!</definedName>
    <definedName name="x" localSheetId="29">#REF!</definedName>
    <definedName name="x" localSheetId="35">#REF!</definedName>
    <definedName name="x" localSheetId="38">#REF!</definedName>
    <definedName name="x" localSheetId="47">#REF!</definedName>
    <definedName name="x" localSheetId="56">#REF!</definedName>
    <definedName name="x" localSheetId="54">#REF!</definedName>
    <definedName name="x">#REF!</definedName>
    <definedName name="Z_2E18273D_F66D_4CC4_911A_FE47A9AF16A1_.wvu.PrintArea" localSheetId="28" hidden="1">#REF!</definedName>
    <definedName name="Z_2E18273D_F66D_4CC4_911A_FE47A9AF16A1_.wvu.PrintArea" localSheetId="32" hidden="1">#REF!</definedName>
    <definedName name="Z_2E18273D_F66D_4CC4_911A_FE47A9AF16A1_.wvu.PrintArea" localSheetId="33" hidden="1">#REF!</definedName>
    <definedName name="Z_2E18273D_F66D_4CC4_911A_FE47A9AF16A1_.wvu.PrintArea" localSheetId="29" hidden="1">#REF!</definedName>
    <definedName name="Z_2E18273D_F66D_4CC4_911A_FE47A9AF16A1_.wvu.PrintArea" localSheetId="35" hidden="1">#REF!</definedName>
    <definedName name="Z_2E18273D_F66D_4CC4_911A_FE47A9AF16A1_.wvu.PrintArea" localSheetId="38" hidden="1">#REF!</definedName>
    <definedName name="Z_2E18273D_F66D_4CC4_911A_FE47A9AF16A1_.wvu.PrintArea" localSheetId="47" hidden="1">#REF!</definedName>
    <definedName name="Z_2E18273D_F66D_4CC4_911A_FE47A9AF16A1_.wvu.PrintArea" localSheetId="56" hidden="1">#REF!</definedName>
    <definedName name="Z_2E18273D_F66D_4CC4_911A_FE47A9AF16A1_.wvu.PrintArea" localSheetId="54" hidden="1">#REF!</definedName>
    <definedName name="Z_2E18273D_F66D_4CC4_911A_FE47A9AF16A1_.wvu.PrintArea" hidden="1">#REF!</definedName>
    <definedName name="Z_753BA0A0_D4CC_4BCC_8EA2_60EB271684D7_.wvu.Cols" localSheetId="28" hidden="1">#REF!,#REF!,#REF!,#REF!,#REF!,#REF!,#REF!,#REF!,#REF!,#REF!,#REF!</definedName>
    <definedName name="Z_753BA0A0_D4CC_4BCC_8EA2_60EB271684D7_.wvu.Cols" localSheetId="30" hidden="1">#REF!,#REF!,#REF!,#REF!,#REF!,#REF!,#REF!,#REF!,#REF!,#REF!,#REF!</definedName>
    <definedName name="Z_753BA0A0_D4CC_4BCC_8EA2_60EB271684D7_.wvu.Cols" localSheetId="32" hidden="1">#REF!,#REF!,#REF!,#REF!,#REF!,#REF!,#REF!,#REF!,#REF!,#REF!,#REF!</definedName>
    <definedName name="Z_753BA0A0_D4CC_4BCC_8EA2_60EB271684D7_.wvu.Cols" localSheetId="33" hidden="1">#REF!,#REF!,#REF!,#REF!,#REF!,#REF!,#REF!,#REF!,#REF!,#REF!,#REF!</definedName>
    <definedName name="Z_753BA0A0_D4CC_4BCC_8EA2_60EB271684D7_.wvu.Cols" localSheetId="29" hidden="1">#REF!,#REF!,#REF!,#REF!,#REF!,#REF!,#REF!,#REF!,#REF!,#REF!,#REF!</definedName>
    <definedName name="Z_753BA0A0_D4CC_4BCC_8EA2_60EB271684D7_.wvu.Cols" localSheetId="35" hidden="1">#REF!,#REF!,#REF!,#REF!,#REF!,#REF!,#REF!,#REF!,#REF!,#REF!,#REF!</definedName>
    <definedName name="Z_753BA0A0_D4CC_4BCC_8EA2_60EB271684D7_.wvu.Cols" localSheetId="38" hidden="1">#REF!,#REF!,#REF!,#REF!,#REF!,#REF!,#REF!,#REF!,#REF!,#REF!,#REF!</definedName>
    <definedName name="Z_753BA0A0_D4CC_4BCC_8EA2_60EB271684D7_.wvu.Cols" localSheetId="48" hidden="1">#REF!,#REF!,#REF!,#REF!,#REF!,#REF!,#REF!,#REF!,#REF!,#REF!,#REF!</definedName>
    <definedName name="Z_753BA0A0_D4CC_4BCC_8EA2_60EB271684D7_.wvu.Cols" localSheetId="43" hidden="1">#REF!,#REF!,#REF!,#REF!,#REF!,#REF!,#REF!,#REF!,#REF!,#REF!,#REF!</definedName>
    <definedName name="Z_753BA0A0_D4CC_4BCC_8EA2_60EB271684D7_.wvu.Cols" localSheetId="47" hidden="1">#REF!,#REF!,#REF!,#REF!,#REF!,#REF!,#REF!,#REF!,#REF!,#REF!,#REF!</definedName>
    <definedName name="Z_753BA0A0_D4CC_4BCC_8EA2_60EB271684D7_.wvu.Cols" localSheetId="56" hidden="1">#REF!,#REF!,#REF!,#REF!,#REF!,#REF!,#REF!,#REF!,#REF!,#REF!,#REF!</definedName>
    <definedName name="Z_753BA0A0_D4CC_4BCC_8EA2_60EB271684D7_.wvu.Cols" localSheetId="54" hidden="1">#REF!,#REF!,#REF!,#REF!,#REF!,#REF!,#REF!,#REF!,#REF!,#REF!,#REF!</definedName>
    <definedName name="Z_753BA0A0_D4CC_4BCC_8EA2_60EB271684D7_.wvu.Cols" localSheetId="60" hidden="1">#REF!,#REF!,#REF!,#REF!,#REF!,#REF!,#REF!,#REF!,#REF!,#REF!,#REF!</definedName>
    <definedName name="Z_753BA0A0_D4CC_4BCC_8EA2_60EB271684D7_.wvu.Cols" localSheetId="55" hidden="1">#REF!,#REF!,#REF!,#REF!,#REF!,#REF!,#REF!,#REF!,#REF!,#REF!,#REF!</definedName>
    <definedName name="Z_753BA0A0_D4CC_4BCC_8EA2_60EB271684D7_.wvu.Cols" localSheetId="62" hidden="1">#REF!,#REF!,#REF!,#REF!,#REF!,#REF!,#REF!,#REF!,#REF!,#REF!,#REF!</definedName>
    <definedName name="Z_753BA0A0_D4CC_4BCC_8EA2_60EB271684D7_.wvu.Cols" localSheetId="63" hidden="1">#REF!,#REF!,#REF!,#REF!,#REF!,#REF!,#REF!,#REF!,#REF!,#REF!,#REF!</definedName>
    <definedName name="Z_753BA0A0_D4CC_4BCC_8EA2_60EB271684D7_.wvu.Cols" localSheetId="70" hidden="1">#REF!,#REF!,#REF!,#REF!,#REF!,#REF!,#REF!,#REF!,#REF!,#REF!,#REF!</definedName>
    <definedName name="Z_753BA0A0_D4CC_4BCC_8EA2_60EB271684D7_.wvu.Cols" localSheetId="65" hidden="1">#REF!,#REF!,#REF!,#REF!,#REF!,#REF!,#REF!,#REF!,#REF!,#REF!,#REF!</definedName>
    <definedName name="Z_753BA0A0_D4CC_4BCC_8EA2_60EB271684D7_.wvu.Cols" localSheetId="34" hidden="1">#REF!,#REF!,#REF!,#REF!,#REF!,#REF!,#REF!,#REF!,#REF!,#REF!,#REF!</definedName>
    <definedName name="Z_753BA0A0_D4CC_4BCC_8EA2_60EB271684D7_.wvu.Cols" localSheetId="69" hidden="1">#REF!,#REF!,#REF!,#REF!,#REF!,#REF!,#REF!,#REF!,#REF!,#REF!,#REF!</definedName>
    <definedName name="Z_753BA0A0_D4CC_4BCC_8EA2_60EB271684D7_.wvu.Cols" hidden="1">#REF!,#REF!,#REF!,#REF!,#REF!,#REF!,#REF!,#REF!,#REF!,#REF!,#REF!</definedName>
    <definedName name="Z_980EAF25_7339_4074_861E_27F188E0B0FD_.wvu.PrintArea" localSheetId="28" hidden="1">#REF!</definedName>
    <definedName name="Z_980EAF25_7339_4074_861E_27F188E0B0FD_.wvu.PrintArea" localSheetId="32" hidden="1">#REF!</definedName>
    <definedName name="Z_980EAF25_7339_4074_861E_27F188E0B0FD_.wvu.PrintArea" localSheetId="33" hidden="1">#REF!</definedName>
    <definedName name="Z_980EAF25_7339_4074_861E_27F188E0B0FD_.wvu.PrintArea" localSheetId="29" hidden="1">#REF!</definedName>
    <definedName name="Z_980EAF25_7339_4074_861E_27F188E0B0FD_.wvu.PrintArea" localSheetId="35" hidden="1">#REF!</definedName>
    <definedName name="Z_980EAF25_7339_4074_861E_27F188E0B0FD_.wvu.PrintArea" localSheetId="38" hidden="1">#REF!</definedName>
    <definedName name="Z_980EAF25_7339_4074_861E_27F188E0B0FD_.wvu.PrintArea" localSheetId="47" hidden="1">#REF!</definedName>
    <definedName name="Z_980EAF25_7339_4074_861E_27F188E0B0FD_.wvu.PrintArea" localSheetId="56" hidden="1">#REF!</definedName>
    <definedName name="Z_980EAF25_7339_4074_861E_27F188E0B0FD_.wvu.PrintArea" localSheetId="54" hidden="1">#REF!</definedName>
    <definedName name="Z_980EAF25_7339_4074_861E_27F188E0B0FD_.wvu.PrintArea" hidden="1">#REF!</definedName>
    <definedName name="Z_B0434F18_CF51_4D78_B7E6_A8F03E56E080_.wvu.Cols" localSheetId="28" hidden="1">#REF!</definedName>
    <definedName name="Z_B0434F18_CF51_4D78_B7E6_A8F03E56E080_.wvu.Cols" localSheetId="32" hidden="1">#REF!</definedName>
    <definedName name="Z_B0434F18_CF51_4D78_B7E6_A8F03E56E080_.wvu.Cols" localSheetId="33" hidden="1">#REF!</definedName>
    <definedName name="Z_B0434F18_CF51_4D78_B7E6_A8F03E56E080_.wvu.Cols" localSheetId="29" hidden="1">#REF!</definedName>
    <definedName name="Z_B0434F18_CF51_4D78_B7E6_A8F03E56E080_.wvu.Cols" localSheetId="35" hidden="1">#REF!</definedName>
    <definedName name="Z_B0434F18_CF51_4D78_B7E6_A8F03E56E080_.wvu.Cols" localSheetId="38" hidden="1">#REF!</definedName>
    <definedName name="Z_B0434F18_CF51_4D78_B7E6_A8F03E56E080_.wvu.Cols" localSheetId="47" hidden="1">#REF!</definedName>
    <definedName name="Z_B0434F18_CF51_4D78_B7E6_A8F03E56E080_.wvu.Cols" localSheetId="56" hidden="1">#REF!</definedName>
    <definedName name="Z_B0434F18_CF51_4D78_B7E6_A8F03E56E080_.wvu.Cols" localSheetId="54" hidden="1">#REF!</definedName>
    <definedName name="Z_B0434F18_CF51_4D78_B7E6_A8F03E56E080_.wvu.Cols" hidden="1">#REF!</definedName>
    <definedName name="Z_B0434F18_CF51_4D78_B7E6_A8F03E56E080_.wvu.Rows" localSheetId="28" hidden="1">#REF!</definedName>
    <definedName name="Z_B0434F18_CF51_4D78_B7E6_A8F03E56E080_.wvu.Rows" localSheetId="30" hidden="1">#REF!</definedName>
    <definedName name="Z_B0434F18_CF51_4D78_B7E6_A8F03E56E080_.wvu.Rows" localSheetId="32" hidden="1">#REF!</definedName>
    <definedName name="Z_B0434F18_CF51_4D78_B7E6_A8F03E56E080_.wvu.Rows" localSheetId="33" hidden="1">#REF!</definedName>
    <definedName name="Z_B0434F18_CF51_4D78_B7E6_A8F03E56E080_.wvu.Rows" localSheetId="29" hidden="1">#REF!</definedName>
    <definedName name="Z_B0434F18_CF51_4D78_B7E6_A8F03E56E080_.wvu.Rows" localSheetId="35" hidden="1">#REF!</definedName>
    <definedName name="Z_B0434F18_CF51_4D78_B7E6_A8F03E56E080_.wvu.Rows" localSheetId="38" hidden="1">#REF!</definedName>
    <definedName name="Z_B0434F18_CF51_4D78_B7E6_A8F03E56E080_.wvu.Rows" localSheetId="48" hidden="1">#REF!</definedName>
    <definedName name="Z_B0434F18_CF51_4D78_B7E6_A8F03E56E080_.wvu.Rows" localSheetId="43" hidden="1">#REF!</definedName>
    <definedName name="Z_B0434F18_CF51_4D78_B7E6_A8F03E56E080_.wvu.Rows" localSheetId="47" hidden="1">#REF!</definedName>
    <definedName name="Z_B0434F18_CF51_4D78_B7E6_A8F03E56E080_.wvu.Rows" localSheetId="56" hidden="1">#REF!</definedName>
    <definedName name="Z_B0434F18_CF51_4D78_B7E6_A8F03E56E080_.wvu.Rows" localSheetId="54" hidden="1">#REF!</definedName>
    <definedName name="Z_B0434F18_CF51_4D78_B7E6_A8F03E56E080_.wvu.Rows" localSheetId="60" hidden="1">#REF!</definedName>
    <definedName name="Z_B0434F18_CF51_4D78_B7E6_A8F03E56E080_.wvu.Rows" localSheetId="55" hidden="1">#REF!</definedName>
    <definedName name="Z_B0434F18_CF51_4D78_B7E6_A8F03E56E080_.wvu.Rows" localSheetId="62" hidden="1">#REF!</definedName>
    <definedName name="Z_B0434F18_CF51_4D78_B7E6_A8F03E56E080_.wvu.Rows" localSheetId="63" hidden="1">#REF!</definedName>
    <definedName name="Z_B0434F18_CF51_4D78_B7E6_A8F03E56E080_.wvu.Rows" localSheetId="70" hidden="1">#REF!</definedName>
    <definedName name="Z_B0434F18_CF51_4D78_B7E6_A8F03E56E080_.wvu.Rows" localSheetId="65" hidden="1">#REF!</definedName>
    <definedName name="Z_B0434F18_CF51_4D78_B7E6_A8F03E56E080_.wvu.Rows" localSheetId="69" hidden="1">#REF!</definedName>
    <definedName name="Z_B0434F18_CF51_4D78_B7E6_A8F03E56E080_.wvu.Rows" hidden="1">#REF!</definedName>
    <definedName name="Z_BDAF8797_4A3F_4656_B088_7EB6050F85A9_.wvu.PrintTitles" localSheetId="28" hidden="1">#REF!</definedName>
    <definedName name="Z_BDAF8797_4A3F_4656_B088_7EB6050F85A9_.wvu.PrintTitles" localSheetId="32" hidden="1">#REF!</definedName>
    <definedName name="Z_BDAF8797_4A3F_4656_B088_7EB6050F85A9_.wvu.PrintTitles" localSheetId="33" hidden="1">#REF!</definedName>
    <definedName name="Z_BDAF8797_4A3F_4656_B088_7EB6050F85A9_.wvu.PrintTitles" localSheetId="29" hidden="1">#REF!</definedName>
    <definedName name="Z_BDAF8797_4A3F_4656_B088_7EB6050F85A9_.wvu.PrintTitles" localSheetId="35" hidden="1">#REF!</definedName>
    <definedName name="Z_BDAF8797_4A3F_4656_B088_7EB6050F85A9_.wvu.PrintTitles" localSheetId="38" hidden="1">#REF!</definedName>
    <definedName name="Z_BDAF8797_4A3F_4656_B088_7EB6050F85A9_.wvu.PrintTitles" localSheetId="47" hidden="1">#REF!</definedName>
    <definedName name="Z_BDAF8797_4A3F_4656_B088_7EB6050F85A9_.wvu.PrintTitles" localSheetId="56" hidden="1">#REF!</definedName>
    <definedName name="Z_BDAF8797_4A3F_4656_B088_7EB6050F85A9_.wvu.PrintTitles" localSheetId="54" hidden="1">#REF!</definedName>
    <definedName name="Z_BDAF8797_4A3F_4656_B088_7EB6050F85A9_.wvu.PrintTitles" hidden="1">#REF!</definedName>
    <definedName name="Z_D7A9F6D4_7CAA_404E_BAD9_95CE51F4654E_.wvu.Cols" localSheetId="28" hidden="1">#REF!</definedName>
    <definedName name="Z_D7A9F6D4_7CAA_404E_BAD9_95CE51F4654E_.wvu.Cols" localSheetId="32" hidden="1">#REF!</definedName>
    <definedName name="Z_D7A9F6D4_7CAA_404E_BAD9_95CE51F4654E_.wvu.Cols" localSheetId="33" hidden="1">#REF!</definedName>
    <definedName name="Z_D7A9F6D4_7CAA_404E_BAD9_95CE51F4654E_.wvu.Cols" localSheetId="29" hidden="1">#REF!</definedName>
    <definedName name="Z_D7A9F6D4_7CAA_404E_BAD9_95CE51F4654E_.wvu.Cols" localSheetId="35" hidden="1">#REF!</definedName>
    <definedName name="Z_D7A9F6D4_7CAA_404E_BAD9_95CE51F4654E_.wvu.Cols" localSheetId="38" hidden="1">#REF!</definedName>
    <definedName name="Z_D7A9F6D4_7CAA_404E_BAD9_95CE51F4654E_.wvu.Cols" localSheetId="47" hidden="1">#REF!</definedName>
    <definedName name="Z_D7A9F6D4_7CAA_404E_BAD9_95CE51F4654E_.wvu.Cols" localSheetId="56" hidden="1">#REF!</definedName>
    <definedName name="Z_D7A9F6D4_7CAA_404E_BAD9_95CE51F4654E_.wvu.Cols" localSheetId="54" hidden="1">#REF!</definedName>
    <definedName name="Z_D7A9F6D4_7CAA_404E_BAD9_95CE51F4654E_.wvu.Cols" hidden="1">#REF!</definedName>
    <definedName name="Z_D7A9F6D4_7CAA_404E_BAD9_95CE51F4654E_.wvu.Rows" localSheetId="28" hidden="1">#REF!</definedName>
    <definedName name="Z_D7A9F6D4_7CAA_404E_BAD9_95CE51F4654E_.wvu.Rows" localSheetId="30" hidden="1">#REF!</definedName>
    <definedName name="Z_D7A9F6D4_7CAA_404E_BAD9_95CE51F4654E_.wvu.Rows" localSheetId="32" hidden="1">#REF!</definedName>
    <definedName name="Z_D7A9F6D4_7CAA_404E_BAD9_95CE51F4654E_.wvu.Rows" localSheetId="33" hidden="1">#REF!</definedName>
    <definedName name="Z_D7A9F6D4_7CAA_404E_BAD9_95CE51F4654E_.wvu.Rows" localSheetId="29" hidden="1">#REF!</definedName>
    <definedName name="Z_D7A9F6D4_7CAA_404E_BAD9_95CE51F4654E_.wvu.Rows" localSheetId="35" hidden="1">#REF!</definedName>
    <definedName name="Z_D7A9F6D4_7CAA_404E_BAD9_95CE51F4654E_.wvu.Rows" localSheetId="38" hidden="1">#REF!</definedName>
    <definedName name="Z_D7A9F6D4_7CAA_404E_BAD9_95CE51F4654E_.wvu.Rows" localSheetId="48" hidden="1">#REF!</definedName>
    <definedName name="Z_D7A9F6D4_7CAA_404E_BAD9_95CE51F4654E_.wvu.Rows" localSheetId="43" hidden="1">#REF!</definedName>
    <definedName name="Z_D7A9F6D4_7CAA_404E_BAD9_95CE51F4654E_.wvu.Rows" localSheetId="47" hidden="1">#REF!</definedName>
    <definedName name="Z_D7A9F6D4_7CAA_404E_BAD9_95CE51F4654E_.wvu.Rows" localSheetId="56" hidden="1">#REF!</definedName>
    <definedName name="Z_D7A9F6D4_7CAA_404E_BAD9_95CE51F4654E_.wvu.Rows" localSheetId="54" hidden="1">#REF!</definedName>
    <definedName name="Z_D7A9F6D4_7CAA_404E_BAD9_95CE51F4654E_.wvu.Rows" localSheetId="60" hidden="1">#REF!</definedName>
    <definedName name="Z_D7A9F6D4_7CAA_404E_BAD9_95CE51F4654E_.wvu.Rows" localSheetId="55" hidden="1">#REF!</definedName>
    <definedName name="Z_D7A9F6D4_7CAA_404E_BAD9_95CE51F4654E_.wvu.Rows" localSheetId="62" hidden="1">#REF!</definedName>
    <definedName name="Z_D7A9F6D4_7CAA_404E_BAD9_95CE51F4654E_.wvu.Rows" localSheetId="63" hidden="1">#REF!</definedName>
    <definedName name="Z_D7A9F6D4_7CAA_404E_BAD9_95CE51F4654E_.wvu.Rows" localSheetId="70" hidden="1">#REF!</definedName>
    <definedName name="Z_D7A9F6D4_7CAA_404E_BAD9_95CE51F4654E_.wvu.Rows" localSheetId="65" hidden="1">#REF!</definedName>
    <definedName name="Z_D7A9F6D4_7CAA_404E_BAD9_95CE51F4654E_.wvu.Rows" localSheetId="69" hidden="1">#REF!</definedName>
    <definedName name="Z_D7A9F6D4_7CAA_404E_BAD9_95CE51F4654E_.wvu.Rows" hidden="1">#REF!</definedName>
    <definedName name="Z_E0930C38_AA64_4AFB_9B0E_DA0E43BA2D89_.wvu.Cols" localSheetId="28" hidden="1">#REF!,#REF!,#REF!,#REF!,#REF!,#REF!,#REF!,#REF!,#REF!,#REF!,#REF!</definedName>
    <definedName name="Z_E0930C38_AA64_4AFB_9B0E_DA0E43BA2D89_.wvu.Cols" localSheetId="30" hidden="1">#REF!,#REF!,#REF!,#REF!,#REF!,#REF!,#REF!,#REF!,#REF!,#REF!,#REF!</definedName>
    <definedName name="Z_E0930C38_AA64_4AFB_9B0E_DA0E43BA2D89_.wvu.Cols" localSheetId="32" hidden="1">#REF!,#REF!,#REF!,#REF!,#REF!,#REF!,#REF!,#REF!,#REF!,#REF!,#REF!</definedName>
    <definedName name="Z_E0930C38_AA64_4AFB_9B0E_DA0E43BA2D89_.wvu.Cols" localSheetId="33" hidden="1">#REF!,#REF!,#REF!,#REF!,#REF!,#REF!,#REF!,#REF!,#REF!,#REF!,#REF!</definedName>
    <definedName name="Z_E0930C38_AA64_4AFB_9B0E_DA0E43BA2D89_.wvu.Cols" localSheetId="29" hidden="1">#REF!,#REF!,#REF!,#REF!,#REF!,#REF!,#REF!,#REF!,#REF!,#REF!,#REF!</definedName>
    <definedName name="Z_E0930C38_AA64_4AFB_9B0E_DA0E43BA2D89_.wvu.Cols" localSheetId="35" hidden="1">#REF!,#REF!,#REF!,#REF!,#REF!,#REF!,#REF!,#REF!,#REF!,#REF!,#REF!</definedName>
    <definedName name="Z_E0930C38_AA64_4AFB_9B0E_DA0E43BA2D89_.wvu.Cols" localSheetId="38" hidden="1">#REF!,#REF!,#REF!,#REF!,#REF!,#REF!,#REF!,#REF!,#REF!,#REF!,#REF!</definedName>
    <definedName name="Z_E0930C38_AA64_4AFB_9B0E_DA0E43BA2D89_.wvu.Cols" localSheetId="48" hidden="1">#REF!,#REF!,#REF!,#REF!,#REF!,#REF!,#REF!,#REF!,#REF!,#REF!,#REF!</definedName>
    <definedName name="Z_E0930C38_AA64_4AFB_9B0E_DA0E43BA2D89_.wvu.Cols" localSheetId="43" hidden="1">#REF!,#REF!,#REF!,#REF!,#REF!,#REF!,#REF!,#REF!,#REF!,#REF!,#REF!</definedName>
    <definedName name="Z_E0930C38_AA64_4AFB_9B0E_DA0E43BA2D89_.wvu.Cols" localSheetId="47" hidden="1">#REF!,#REF!,#REF!,#REF!,#REF!,#REF!,#REF!,#REF!,#REF!,#REF!,#REF!</definedName>
    <definedName name="Z_E0930C38_AA64_4AFB_9B0E_DA0E43BA2D89_.wvu.Cols" localSheetId="56" hidden="1">#REF!,#REF!,#REF!,#REF!,#REF!,#REF!,#REF!,#REF!,#REF!,#REF!,#REF!</definedName>
    <definedName name="Z_E0930C38_AA64_4AFB_9B0E_DA0E43BA2D89_.wvu.Cols" localSheetId="54" hidden="1">#REF!,#REF!,#REF!,#REF!,#REF!,#REF!,#REF!,#REF!,#REF!,#REF!,#REF!</definedName>
    <definedName name="Z_E0930C38_AA64_4AFB_9B0E_DA0E43BA2D89_.wvu.Cols" localSheetId="60" hidden="1">#REF!,#REF!,#REF!,#REF!,#REF!,#REF!,#REF!,#REF!,#REF!,#REF!,#REF!</definedName>
    <definedName name="Z_E0930C38_AA64_4AFB_9B0E_DA0E43BA2D89_.wvu.Cols" localSheetId="55" hidden="1">#REF!,#REF!,#REF!,#REF!,#REF!,#REF!,#REF!,#REF!,#REF!,#REF!,#REF!</definedName>
    <definedName name="Z_E0930C38_AA64_4AFB_9B0E_DA0E43BA2D89_.wvu.Cols" localSheetId="62" hidden="1">#REF!,#REF!,#REF!,#REF!,#REF!,#REF!,#REF!,#REF!,#REF!,#REF!,#REF!</definedName>
    <definedName name="Z_E0930C38_AA64_4AFB_9B0E_DA0E43BA2D89_.wvu.Cols" localSheetId="63" hidden="1">#REF!,#REF!,#REF!,#REF!,#REF!,#REF!,#REF!,#REF!,#REF!,#REF!,#REF!</definedName>
    <definedName name="Z_E0930C38_AA64_4AFB_9B0E_DA0E43BA2D89_.wvu.Cols" localSheetId="70" hidden="1">#REF!,#REF!,#REF!,#REF!,#REF!,#REF!,#REF!,#REF!,#REF!,#REF!,#REF!</definedName>
    <definedName name="Z_E0930C38_AA64_4AFB_9B0E_DA0E43BA2D89_.wvu.Cols" localSheetId="65" hidden="1">#REF!,#REF!,#REF!,#REF!,#REF!,#REF!,#REF!,#REF!,#REF!,#REF!,#REF!</definedName>
    <definedName name="Z_E0930C38_AA64_4AFB_9B0E_DA0E43BA2D89_.wvu.Cols" localSheetId="34" hidden="1">#REF!,#REF!,#REF!,#REF!,#REF!,#REF!,#REF!,#REF!,#REF!,#REF!,#REF!</definedName>
    <definedName name="Z_E0930C38_AA64_4AFB_9B0E_DA0E43BA2D89_.wvu.Cols" localSheetId="69" hidden="1">#REF!,#REF!,#REF!,#REF!,#REF!,#REF!,#REF!,#REF!,#REF!,#REF!,#REF!</definedName>
    <definedName name="Z_E0930C38_AA64_4AFB_9B0E_DA0E43BA2D89_.wvu.Cols" hidden="1">#REF!,#REF!,#REF!,#REF!,#REF!,#REF!,#REF!,#REF!,#REF!,#REF!,#REF!</definedName>
    <definedName name="Z_E6B03560_877C_46DD_AC61_C66186AE0CA9_.wvu.PrintTitles" localSheetId="28" hidden="1">#REF!</definedName>
    <definedName name="Z_E6B03560_877C_46DD_AC61_C66186AE0CA9_.wvu.PrintTitles" localSheetId="32" hidden="1">#REF!</definedName>
    <definedName name="Z_E6B03560_877C_46DD_AC61_C66186AE0CA9_.wvu.PrintTitles" localSheetId="33" hidden="1">#REF!</definedName>
    <definedName name="Z_E6B03560_877C_46DD_AC61_C66186AE0CA9_.wvu.PrintTitles" localSheetId="29" hidden="1">#REF!</definedName>
    <definedName name="Z_E6B03560_877C_46DD_AC61_C66186AE0CA9_.wvu.PrintTitles" localSheetId="35" hidden="1">#REF!</definedName>
    <definedName name="Z_E6B03560_877C_46DD_AC61_C66186AE0CA9_.wvu.PrintTitles" localSheetId="38" hidden="1">#REF!</definedName>
    <definedName name="Z_E6B03560_877C_46DD_AC61_C66186AE0CA9_.wvu.PrintTitles" localSheetId="47" hidden="1">#REF!</definedName>
    <definedName name="Z_E6B03560_877C_46DD_AC61_C66186AE0CA9_.wvu.PrintTitles" localSheetId="56" hidden="1">#REF!</definedName>
    <definedName name="Z_E6B03560_877C_46DD_AC61_C66186AE0CA9_.wvu.PrintTitles" localSheetId="54" hidden="1">#REF!</definedName>
    <definedName name="Z_E6B03560_877C_46DD_AC61_C66186AE0CA9_.wvu.PrintTitles" hidden="1">#REF!</definedName>
    <definedName name="Z_FF45210D_B19D_11D5_AA56_00B0D076DEE5_.wvu.Rows" localSheetId="28" hidden="1">#REF!,#REF!,#REF!</definedName>
    <definedName name="Z_FF45210D_B19D_11D5_AA56_00B0D076DEE5_.wvu.Rows" localSheetId="30" hidden="1">#REF!,#REF!,#REF!</definedName>
    <definedName name="Z_FF45210D_B19D_11D5_AA56_00B0D076DEE5_.wvu.Rows" localSheetId="32" hidden="1">#REF!,#REF!,#REF!</definedName>
    <definedName name="Z_FF45210D_B19D_11D5_AA56_00B0D076DEE5_.wvu.Rows" localSheetId="33" hidden="1">#REF!,#REF!,#REF!</definedName>
    <definedName name="Z_FF45210D_B19D_11D5_AA56_00B0D076DEE5_.wvu.Rows" localSheetId="29" hidden="1">#REF!,#REF!,#REF!</definedName>
    <definedName name="Z_FF45210D_B19D_11D5_AA56_00B0D076DEE5_.wvu.Rows" localSheetId="35" hidden="1">#REF!,#REF!,#REF!</definedName>
    <definedName name="Z_FF45210D_B19D_11D5_AA56_00B0D076DEE5_.wvu.Rows" localSheetId="38" hidden="1">#REF!,#REF!,#REF!</definedName>
    <definedName name="Z_FF45210D_B19D_11D5_AA56_00B0D076DEE5_.wvu.Rows" localSheetId="48" hidden="1">#REF!,#REF!,#REF!</definedName>
    <definedName name="Z_FF45210D_B19D_11D5_AA56_00B0D076DEE5_.wvu.Rows" localSheetId="43" hidden="1">#REF!,#REF!,#REF!</definedName>
    <definedName name="Z_FF45210D_B19D_11D5_AA56_00B0D076DEE5_.wvu.Rows" localSheetId="47" hidden="1">#REF!,#REF!,#REF!</definedName>
    <definedName name="Z_FF45210D_B19D_11D5_AA56_00B0D076DEE5_.wvu.Rows" localSheetId="56" hidden="1">#REF!,#REF!,#REF!</definedName>
    <definedName name="Z_FF45210D_B19D_11D5_AA56_00B0D076DEE5_.wvu.Rows" localSheetId="54" hidden="1">#REF!,#REF!,#REF!</definedName>
    <definedName name="Z_FF45210D_B19D_11D5_AA56_00B0D076DEE5_.wvu.Rows" localSheetId="60" hidden="1">#REF!,#REF!,#REF!</definedName>
    <definedName name="Z_FF45210D_B19D_11D5_AA56_00B0D076DEE5_.wvu.Rows" localSheetId="55" hidden="1">#REF!,#REF!,#REF!</definedName>
    <definedName name="Z_FF45210D_B19D_11D5_AA56_00B0D076DEE5_.wvu.Rows" localSheetId="62" hidden="1">#REF!,#REF!,#REF!</definedName>
    <definedName name="Z_FF45210D_B19D_11D5_AA56_00B0D076DEE5_.wvu.Rows" localSheetId="63" hidden="1">#REF!,#REF!,#REF!</definedName>
    <definedName name="Z_FF45210D_B19D_11D5_AA56_00B0D076DEE5_.wvu.Rows" localSheetId="70" hidden="1">#REF!,#REF!,#REF!</definedName>
    <definedName name="Z_FF45210D_B19D_11D5_AA56_00B0D076DEE5_.wvu.Rows" localSheetId="65" hidden="1">#REF!,#REF!,#REF!</definedName>
    <definedName name="Z_FF45210D_B19D_11D5_AA56_00B0D076DEE5_.wvu.Rows" localSheetId="69" hidden="1">#REF!,#REF!,#REF!</definedName>
    <definedName name="Z_FF45210D_B19D_11D5_AA56_00B0D076DEE5_.wvu.Rows" hidden="1">#REF!,#REF!,#REF!</definedName>
  </definedName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0" i="36" l="1"/>
  <c r="C2" i="85"/>
  <c r="D20" i="70"/>
  <c r="E20" i="70"/>
  <c r="C20" i="70"/>
  <c r="F18" i="70"/>
  <c r="F17" i="70" l="1"/>
  <c r="F16" i="70"/>
  <c r="E16" i="67" l="1"/>
  <c r="C15" i="70"/>
  <c r="F15" i="70" s="1"/>
  <c r="F14" i="70" l="1"/>
  <c r="E95" i="58"/>
  <c r="Y31" i="109"/>
  <c r="F15" i="111"/>
  <c r="F18" i="111" s="1"/>
  <c r="F201" i="36"/>
  <c r="G16" i="67"/>
  <c r="F13" i="70" l="1"/>
  <c r="C16" i="67"/>
  <c r="E20" i="111" l="1"/>
  <c r="F12" i="111"/>
  <c r="F13" i="111" s="1"/>
  <c r="F14" i="111" s="1"/>
  <c r="F19" i="98" l="1"/>
  <c r="F18" i="92" a="1"/>
  <c r="F18" i="92" s="1"/>
  <c r="F16" i="92"/>
  <c r="C17" i="107" s="1"/>
  <c r="D17" i="107" a="1"/>
  <c r="D17" i="107" s="1"/>
  <c r="F12" i="70"/>
  <c r="F11" i="70"/>
  <c r="L20" i="70"/>
  <c r="F19" i="92" l="1"/>
  <c r="Y33" i="109"/>
  <c r="S57" i="109"/>
  <c r="S55" i="109"/>
  <c r="G105" i="103" l="1"/>
  <c r="G106" i="103"/>
  <c r="G107" i="103"/>
  <c r="G108" i="103"/>
  <c r="G109" i="103"/>
  <c r="G110" i="103"/>
  <c r="G111" i="103"/>
  <c r="G112" i="103"/>
  <c r="H35" i="97" a="1"/>
  <c r="H35" i="97" s="1"/>
  <c r="AC41" i="109"/>
  <c r="AD41" i="109" s="1"/>
  <c r="AE41" i="109"/>
  <c r="AE36" i="109"/>
  <c r="AC36" i="109"/>
  <c r="AD36" i="109" s="1"/>
  <c r="E13" i="110"/>
  <c r="A3" i="110"/>
  <c r="A1" i="110"/>
  <c r="AF36" i="109" l="1"/>
  <c r="AF41" i="109"/>
  <c r="Y37" i="109"/>
  <c r="Y34" i="109"/>
  <c r="U32" i="109"/>
  <c r="F219" i="36" l="1"/>
  <c r="F154" i="36"/>
  <c r="D19" i="84" l="1" a="1"/>
  <c r="D19" i="84" s="1"/>
  <c r="C19" i="84" a="1"/>
  <c r="C19" i="84" s="1"/>
  <c r="E19" i="84" l="1"/>
  <c r="I59" i="67"/>
  <c r="D9" i="97" l="1"/>
  <c r="F9" i="97" s="1"/>
  <c r="D31" i="97" l="1"/>
  <c r="F31" i="97" s="1"/>
  <c r="H31" i="97" s="1"/>
  <c r="D30" i="97"/>
  <c r="F30" i="97" s="1"/>
  <c r="D22" i="97"/>
  <c r="F22" i="97" s="1"/>
  <c r="D21" i="97"/>
  <c r="F21" i="97" s="1"/>
  <c r="D20" i="97"/>
  <c r="F20" i="97" s="1"/>
  <c r="AE40" i="109"/>
  <c r="AC40" i="109"/>
  <c r="AD40" i="109" s="1"/>
  <c r="AC37" i="109"/>
  <c r="AD37" i="109" s="1"/>
  <c r="AE37" i="109"/>
  <c r="AF40" i="109" l="1"/>
  <c r="AF37" i="109"/>
  <c r="F13" i="57"/>
  <c r="F25" i="57"/>
  <c r="G17" i="97" l="1"/>
  <c r="G22" i="97"/>
  <c r="G23" i="97"/>
  <c r="G24" i="97"/>
  <c r="G25" i="97"/>
  <c r="G26" i="97"/>
  <c r="G27" i="97"/>
  <c r="G28" i="97"/>
  <c r="G29" i="97"/>
  <c r="G20" i="97" l="1"/>
  <c r="D24" i="97"/>
  <c r="D25" i="97"/>
  <c r="D26" i="97"/>
  <c r="D27" i="97"/>
  <c r="D28" i="97"/>
  <c r="D29" i="97"/>
  <c r="G30" i="97"/>
  <c r="AE35" i="109"/>
  <c r="AC35" i="109"/>
  <c r="AD35" i="109" s="1"/>
  <c r="AE34" i="109"/>
  <c r="AC34" i="109"/>
  <c r="AD34" i="109" s="1"/>
  <c r="AE33" i="109"/>
  <c r="AC33" i="109"/>
  <c r="AE31" i="109"/>
  <c r="AC31" i="109"/>
  <c r="U46" i="109"/>
  <c r="O45" i="109"/>
  <c r="O35" i="109"/>
  <c r="O34" i="109"/>
  <c r="U8" i="109"/>
  <c r="U39" i="109"/>
  <c r="U38" i="109"/>
  <c r="U28" i="109"/>
  <c r="U27" i="109"/>
  <c r="U26" i="109"/>
  <c r="U25" i="109"/>
  <c r="U24" i="109"/>
  <c r="U23" i="109"/>
  <c r="U22" i="109"/>
  <c r="U21" i="109"/>
  <c r="U20" i="109"/>
  <c r="U19" i="109"/>
  <c r="U18" i="109"/>
  <c r="U17" i="109"/>
  <c r="U16" i="109"/>
  <c r="U15" i="109"/>
  <c r="U14" i="109"/>
  <c r="U13" i="109"/>
  <c r="U12" i="109"/>
  <c r="U11" i="109"/>
  <c r="U10" i="109"/>
  <c r="O44" i="109"/>
  <c r="O43" i="109"/>
  <c r="O40" i="109"/>
  <c r="O39" i="109"/>
  <c r="O38" i="109"/>
  <c r="O37" i="109"/>
  <c r="S49" i="109"/>
  <c r="O33" i="109"/>
  <c r="O32" i="109"/>
  <c r="O31" i="109"/>
  <c r="O29" i="109"/>
  <c r="O28" i="109"/>
  <c r="O27" i="109"/>
  <c r="O26" i="109"/>
  <c r="O25" i="109"/>
  <c r="O24" i="109"/>
  <c r="O23" i="109"/>
  <c r="O22" i="109"/>
  <c r="O21" i="109"/>
  <c r="O20" i="109"/>
  <c r="O19" i="109"/>
  <c r="O18" i="109"/>
  <c r="O17" i="109"/>
  <c r="O16" i="109"/>
  <c r="O15" i="109"/>
  <c r="O14" i="109"/>
  <c r="O13" i="109"/>
  <c r="O12" i="109"/>
  <c r="O11" i="109"/>
  <c r="O10" i="109"/>
  <c r="U9" i="109"/>
  <c r="O9" i="109"/>
  <c r="O8" i="109"/>
  <c r="AD31" i="109" l="1"/>
  <c r="AF31" i="109" s="1"/>
  <c r="T47" i="109" s="1"/>
  <c r="AD33" i="109"/>
  <c r="AF33" i="109" s="1"/>
  <c r="AF35" i="109"/>
  <c r="AF34" i="109"/>
  <c r="C28" i="107" l="1"/>
  <c r="H64" i="67"/>
  <c r="K60" i="67"/>
  <c r="L60" i="67" s="1"/>
  <c r="I60" i="67"/>
  <c r="K59" i="67"/>
  <c r="L59" i="67" s="1"/>
  <c r="B33" i="97"/>
  <c r="C33" i="97"/>
  <c r="E33" i="97"/>
  <c r="K61" i="67" l="1"/>
  <c r="I61" i="67"/>
  <c r="I64" i="67" s="1"/>
  <c r="L61" i="67" l="1"/>
  <c r="L64" i="67" s="1"/>
  <c r="K64" i="67"/>
  <c r="F49" i="83" l="1"/>
  <c r="I31" i="83" l="1"/>
  <c r="I26" i="83"/>
  <c r="G31" i="97" l="1"/>
  <c r="G21" i="97"/>
  <c r="D23" i="97"/>
  <c r="G103" i="103"/>
  <c r="C16" i="85" l="1" a="1"/>
  <c r="C16" i="85" s="1"/>
  <c r="C15" i="85" a="1"/>
  <c r="C15" i="85" s="1"/>
  <c r="G104" i="103"/>
  <c r="G95" i="103"/>
  <c r="G96" i="103"/>
  <c r="G97" i="103"/>
  <c r="G98" i="103"/>
  <c r="G99" i="103"/>
  <c r="G100" i="103"/>
  <c r="G101" i="103"/>
  <c r="G102" i="103"/>
  <c r="I34" i="83" l="1"/>
  <c r="I28" i="83"/>
  <c r="F44" i="83"/>
  <c r="D15" i="84" l="1" a="1"/>
  <c r="D15" i="84" s="1"/>
  <c r="D18" i="84" a="1"/>
  <c r="D18" i="84" s="1"/>
  <c r="C6" i="85" l="1"/>
  <c r="C10" i="85" s="1"/>
  <c r="D22" i="84" l="1" a="1"/>
  <c r="D22" i="84" s="1"/>
  <c r="E15" i="79" l="1" a="1"/>
  <c r="E15" i="79" s="1"/>
  <c r="C18" i="84" a="1"/>
  <c r="C18" i="84" s="1"/>
  <c r="C17" i="84" a="1"/>
  <c r="C17" i="84" s="1"/>
  <c r="E20" i="94" l="1"/>
  <c r="E11" i="93"/>
  <c r="M30" i="83"/>
  <c r="N30" i="83" s="1"/>
  <c r="O30" i="83"/>
  <c r="M29" i="83"/>
  <c r="N29" i="83" s="1"/>
  <c r="O29" i="83"/>
  <c r="P30" i="83" l="1"/>
  <c r="F30" i="83" s="1"/>
  <c r="P29" i="83"/>
  <c r="F29" i="83" s="1"/>
  <c r="F166" i="36"/>
  <c r="G93" i="103" l="1"/>
  <c r="G94" i="103"/>
  <c r="G14" i="103"/>
  <c r="D16" i="79" l="1"/>
  <c r="C38" i="107"/>
  <c r="D9" i="107" a="1"/>
  <c r="D9" i="107" s="1"/>
  <c r="E9" i="107" s="1"/>
  <c r="D10" i="107" a="1"/>
  <c r="D10" i="107" s="1"/>
  <c r="E10" i="107" s="1"/>
  <c r="D18" i="107" a="1"/>
  <c r="D18" i="107" s="1"/>
  <c r="E18" i="107" s="1"/>
  <c r="D25" i="107" a="1"/>
  <c r="D25" i="107" s="1"/>
  <c r="E25" i="107" s="1"/>
  <c r="D26" i="107" a="1"/>
  <c r="D26" i="107" s="1"/>
  <c r="E26" i="107" s="1"/>
  <c r="D32" i="107" a="1"/>
  <c r="D32" i="107" s="1"/>
  <c r="E32" i="107" s="1"/>
  <c r="D34" i="107" a="1"/>
  <c r="D34" i="107" s="1"/>
  <c r="E34" i="107" s="1"/>
  <c r="G65" i="103" l="1"/>
  <c r="G66" i="103"/>
  <c r="G67" i="103"/>
  <c r="G68" i="103"/>
  <c r="G69" i="103"/>
  <c r="G70" i="103"/>
  <c r="G71" i="103"/>
  <c r="G72" i="103"/>
  <c r="G73" i="103"/>
  <c r="G74" i="103"/>
  <c r="G75" i="103"/>
  <c r="G76" i="103"/>
  <c r="G77" i="103"/>
  <c r="G78" i="103"/>
  <c r="G79" i="103"/>
  <c r="G80" i="103"/>
  <c r="G81" i="103"/>
  <c r="G82" i="103"/>
  <c r="G83" i="103"/>
  <c r="G84" i="103"/>
  <c r="G85" i="103"/>
  <c r="G86" i="103"/>
  <c r="G87" i="103"/>
  <c r="G88" i="103"/>
  <c r="G89" i="103"/>
  <c r="G90" i="103"/>
  <c r="G91" i="103"/>
  <c r="G92" i="103"/>
  <c r="M22" i="70" a="1"/>
  <c r="M22" i="70" s="1"/>
  <c r="L22" i="70" a="1"/>
  <c r="L22" i="70" s="1"/>
  <c r="L23" i="70" s="1"/>
  <c r="G15" i="103"/>
  <c r="C13" i="85" s="1" a="1"/>
  <c r="C13" i="85" s="1"/>
  <c r="G16" i="103"/>
  <c r="G17" i="103"/>
  <c r="G35" i="97" s="1" a="1"/>
  <c r="G35" i="97" s="1"/>
  <c r="G18" i="103"/>
  <c r="G19" i="103"/>
  <c r="G36" i="67" s="1" a="1"/>
  <c r="G36" i="67" s="1"/>
  <c r="G37" i="67" s="1"/>
  <c r="G20" i="103"/>
  <c r="G21" i="103"/>
  <c r="G22" i="103"/>
  <c r="G23" i="103"/>
  <c r="F233" i="36" s="1" a="1"/>
  <c r="F233" i="36" s="1"/>
  <c r="F234" i="36" s="1"/>
  <c r="G24" i="103"/>
  <c r="G25" i="103"/>
  <c r="G26" i="103"/>
  <c r="G27" i="103"/>
  <c r="G28" i="103"/>
  <c r="G29" i="103"/>
  <c r="G30" i="103"/>
  <c r="G31" i="103"/>
  <c r="G32" i="103"/>
  <c r="G33" i="103"/>
  <c r="G34" i="103"/>
  <c r="G35" i="103"/>
  <c r="C14" i="85" s="1" a="1"/>
  <c r="C14" i="85" s="1"/>
  <c r="G36" i="103"/>
  <c r="G37" i="103"/>
  <c r="G38" i="103"/>
  <c r="G39" i="103"/>
  <c r="G40" i="103"/>
  <c r="G41" i="103"/>
  <c r="D35" i="107" s="1" a="1"/>
  <c r="D35" i="107" s="1"/>
  <c r="E35" i="107" s="1"/>
  <c r="G42" i="103"/>
  <c r="G43" i="103"/>
  <c r="G44" i="103"/>
  <c r="G45" i="103"/>
  <c r="G46" i="103"/>
  <c r="G47" i="103"/>
  <c r="G48" i="103"/>
  <c r="G49" i="103"/>
  <c r="G50" i="103"/>
  <c r="G51" i="103"/>
  <c r="G52" i="103"/>
  <c r="G53" i="103"/>
  <c r="G54" i="103"/>
  <c r="G55" i="103"/>
  <c r="G56" i="103"/>
  <c r="G57" i="103"/>
  <c r="G58" i="103"/>
  <c r="G59" i="103"/>
  <c r="G60" i="103"/>
  <c r="G61" i="103"/>
  <c r="G62" i="103"/>
  <c r="G63" i="103"/>
  <c r="G64" i="103"/>
  <c r="E18" i="84"/>
  <c r="C4" i="84" a="1"/>
  <c r="C4" i="84" s="1"/>
  <c r="C5" i="84" a="1"/>
  <c r="C5" i="84" s="1"/>
  <c r="C6" i="84" a="1"/>
  <c r="C6" i="84" s="1"/>
  <c r="C7" i="84" a="1"/>
  <c r="C7" i="84" s="1"/>
  <c r="C8" i="84" a="1"/>
  <c r="C8" i="84" s="1"/>
  <c r="C9" i="84" a="1"/>
  <c r="C9" i="84" s="1"/>
  <c r="C10" i="84" a="1"/>
  <c r="C10" i="84" s="1"/>
  <c r="C11" i="84" a="1"/>
  <c r="C11" i="84" s="1"/>
  <c r="C12" i="84" a="1"/>
  <c r="C12" i="84" s="1"/>
  <c r="C13" i="84" a="1"/>
  <c r="C13" i="84" s="1"/>
  <c r="C14" i="84" a="1"/>
  <c r="C14" i="84" s="1"/>
  <c r="C15" i="84" a="1"/>
  <c r="C15" i="84" s="1"/>
  <c r="E15" i="84" s="1"/>
  <c r="C16" i="84" a="1"/>
  <c r="C16" i="84" s="1"/>
  <c r="C22" i="84" a="1"/>
  <c r="C22" i="84" s="1"/>
  <c r="D17" i="84" a="1"/>
  <c r="D17" i="84" s="1"/>
  <c r="D16" i="84" a="1"/>
  <c r="D16" i="84" s="1"/>
  <c r="D14" i="84" a="1"/>
  <c r="D14" i="84" s="1"/>
  <c r="D13" i="84" a="1"/>
  <c r="D13" i="84" s="1"/>
  <c r="D12" i="84" a="1"/>
  <c r="D12" i="84" s="1"/>
  <c r="D11" i="84" a="1"/>
  <c r="D11" i="84" s="1"/>
  <c r="D10" i="84" a="1"/>
  <c r="D10" i="84" s="1"/>
  <c r="D9" i="84" a="1"/>
  <c r="D9" i="84" s="1"/>
  <c r="D8" i="84" a="1"/>
  <c r="D8" i="84" s="1"/>
  <c r="D7" i="84" a="1"/>
  <c r="D7" i="84" s="1"/>
  <c r="D6" i="84" a="1"/>
  <c r="D6" i="84" s="1"/>
  <c r="D5" i="84" a="1"/>
  <c r="D5" i="84" s="1"/>
  <c r="D4" i="84" a="1"/>
  <c r="D4" i="84" s="1"/>
  <c r="D3" i="84" a="1"/>
  <c r="D3" i="84" s="1"/>
  <c r="C3" i="84" a="1"/>
  <c r="C3" i="84" s="1"/>
  <c r="H36" i="67" l="1" a="1"/>
  <c r="H36" i="67" s="1"/>
  <c r="D29" i="107" a="1"/>
  <c r="D29" i="107" s="1"/>
  <c r="F20" i="111" a="1"/>
  <c r="F20" i="111" s="1"/>
  <c r="F21" i="111" s="1"/>
  <c r="E15" i="110" a="1"/>
  <c r="E15" i="110" s="1"/>
  <c r="E16" i="110" s="1"/>
  <c r="F237" i="36" a="1"/>
  <c r="F237" i="36" s="1"/>
  <c r="F238" i="36" s="1"/>
  <c r="E15" i="99" a="1"/>
  <c r="E15" i="99" s="1"/>
  <c r="E13" i="93" a="1"/>
  <c r="E13" i="93" s="1"/>
  <c r="E14" i="93" s="1"/>
  <c r="D8" i="107" a="1"/>
  <c r="D8" i="107" s="1"/>
  <c r="E8" i="107" s="1"/>
  <c r="D7" i="107" a="1"/>
  <c r="D7" i="107" s="1"/>
  <c r="E7" i="107" s="1"/>
  <c r="C21" i="84"/>
  <c r="C36" i="67" a="1"/>
  <c r="C36" i="67" s="1"/>
  <c r="F241" i="36" a="1"/>
  <c r="F241" i="36" s="1"/>
  <c r="T49" i="109" a="1"/>
  <c r="T49" i="109" s="1"/>
  <c r="T50" i="109" s="1"/>
  <c r="C17" i="85"/>
  <c r="C22" i="85" s="1"/>
  <c r="F28" i="57" a="1"/>
  <c r="F28" i="57" s="1"/>
  <c r="F51" i="83" a="1"/>
  <c r="F51" i="83" s="1"/>
  <c r="F25" i="54" a="1"/>
  <c r="F25" i="54" s="1"/>
  <c r="D11" i="107" a="1"/>
  <c r="D11" i="107" s="1"/>
  <c r="D23" i="107" a="1"/>
  <c r="D23" i="107" s="1"/>
  <c r="F231" i="36" a="1"/>
  <c r="F231" i="36" s="1"/>
  <c r="F232" i="36" s="1"/>
  <c r="F243" i="36" a="1"/>
  <c r="F243" i="36" s="1"/>
  <c r="F244" i="36" s="1"/>
  <c r="D24" i="107" a="1"/>
  <c r="D24" i="107" s="1"/>
  <c r="D12" i="107" a="1"/>
  <c r="D12" i="107" s="1"/>
  <c r="G15" i="95" a="1"/>
  <c r="G15" i="95" s="1"/>
  <c r="F225" i="36" a="1"/>
  <c r="F225" i="36" s="1"/>
  <c r="D14" i="107" a="1"/>
  <c r="D14" i="107" s="1"/>
  <c r="F20" i="98" a="1"/>
  <c r="F20" i="98" s="1"/>
  <c r="F21" i="98" s="1"/>
  <c r="D36" i="107" a="1"/>
  <c r="D36" i="107" s="1"/>
  <c r="E36" i="107" s="1"/>
  <c r="E97" i="58" a="1"/>
  <c r="E97" i="58" s="1"/>
  <c r="E15" i="102" a="1"/>
  <c r="E15" i="102" s="1"/>
  <c r="E16" i="102" s="1"/>
  <c r="D39" i="107" a="1"/>
  <c r="D39" i="107" s="1"/>
  <c r="E39" i="107" s="1"/>
  <c r="D45" i="107" a="1"/>
  <c r="D45" i="107" s="1"/>
  <c r="D40" i="107" a="1"/>
  <c r="D40" i="107" s="1"/>
  <c r="E22" i="94" a="1"/>
  <c r="E22" i="94" s="1"/>
  <c r="E23" i="94" s="1"/>
  <c r="D30" i="107" a="1"/>
  <c r="D30" i="107" s="1"/>
  <c r="E30" i="107" s="1"/>
  <c r="D22" i="70" a="1"/>
  <c r="D22" i="70" s="1"/>
  <c r="C22" i="70" a="1"/>
  <c r="C22" i="70" s="1"/>
  <c r="F239" i="36" a="1"/>
  <c r="F239" i="36" s="1"/>
  <c r="E22" i="70" a="1"/>
  <c r="E22" i="70" s="1"/>
  <c r="F235" i="36" a="1"/>
  <c r="F235" i="36" s="1"/>
  <c r="E6" i="84"/>
  <c r="D16" i="107" a="1"/>
  <c r="D16" i="107" s="1"/>
  <c r="D13" i="107" a="1"/>
  <c r="D13" i="107" s="1"/>
  <c r="E13" i="107" s="1"/>
  <c r="D44" i="107" a="1"/>
  <c r="D44" i="107" s="1"/>
  <c r="D43" i="107" a="1"/>
  <c r="D43" i="107" s="1"/>
  <c r="D31" i="107" a="1"/>
  <c r="D31" i="107" s="1"/>
  <c r="E31" i="107" s="1"/>
  <c r="D27" i="107" a="1"/>
  <c r="D27" i="107" s="1"/>
  <c r="F229" i="36" a="1"/>
  <c r="F229" i="36" s="1"/>
  <c r="D22" i="107" a="1"/>
  <c r="D22" i="107" s="1"/>
  <c r="F227" i="36" a="1"/>
  <c r="F227" i="36" s="1"/>
  <c r="D21" i="107" a="1"/>
  <c r="D21" i="107" s="1"/>
  <c r="D20" i="107" a="1"/>
  <c r="D20" i="107" s="1"/>
  <c r="D38" i="107" a="1"/>
  <c r="D38" i="107" s="1"/>
  <c r="E38" i="107" s="1"/>
  <c r="F223" i="36" a="1"/>
  <c r="F223" i="36" s="1"/>
  <c r="D19" i="107" a="1"/>
  <c r="D19" i="107" s="1"/>
  <c r="D33" i="107" a="1"/>
  <c r="D33" i="107" s="1"/>
  <c r="E33" i="107" s="1"/>
  <c r="D37" i="107" a="1"/>
  <c r="D37" i="107" s="1"/>
  <c r="D28" i="107" a="1"/>
  <c r="D28" i="107" s="1"/>
  <c r="E28" i="107" s="1"/>
  <c r="D15" i="107" a="1"/>
  <c r="D15" i="107" s="1"/>
  <c r="E8" i="84"/>
  <c r="E9" i="84"/>
  <c r="E4" i="84"/>
  <c r="E12" i="84"/>
  <c r="E7" i="84"/>
  <c r="E17" i="84"/>
  <c r="E5" i="84"/>
  <c r="E10" i="84"/>
  <c r="E14" i="84"/>
  <c r="E13" i="84"/>
  <c r="E11" i="84"/>
  <c r="E16" i="84"/>
  <c r="C27" i="107" l="1"/>
  <c r="E27" i="107" s="1"/>
  <c r="M34" i="83"/>
  <c r="D23" i="70" l="1"/>
  <c r="C23" i="70"/>
  <c r="E23" i="70"/>
  <c r="C45" i="107"/>
  <c r="E45" i="107" s="1"/>
  <c r="C44" i="107"/>
  <c r="E44" i="107" s="1"/>
  <c r="C43" i="107"/>
  <c r="E43" i="107" s="1"/>
  <c r="K50" i="67"/>
  <c r="I50" i="67"/>
  <c r="I51" i="67"/>
  <c r="H52" i="67"/>
  <c r="H55" i="67" s="1"/>
  <c r="F16" i="67" s="1"/>
  <c r="C24" i="107" l="1"/>
  <c r="E24" i="107" s="1"/>
  <c r="I52" i="67"/>
  <c r="I55" i="67" s="1"/>
  <c r="K51" i="67" l="1"/>
  <c r="L51" i="67" s="1"/>
  <c r="K52" i="67"/>
  <c r="L52" i="67" s="1"/>
  <c r="L50" i="67"/>
  <c r="K41" i="67"/>
  <c r="H41" i="67"/>
  <c r="I41" i="67" s="1"/>
  <c r="O28" i="83"/>
  <c r="C37" i="67" l="1"/>
  <c r="K55" i="67"/>
  <c r="L55" i="67"/>
  <c r="C23" i="84"/>
  <c r="E15" i="67"/>
  <c r="E13" i="102" l="1"/>
  <c r="A3" i="102"/>
  <c r="A1" i="102"/>
  <c r="E61" i="42"/>
  <c r="F209" i="36"/>
  <c r="F240" i="36" s="1"/>
  <c r="F230" i="36" l="1"/>
  <c r="C22" i="107"/>
  <c r="E22" i="107" s="1"/>
  <c r="L41" i="67" l="1"/>
  <c r="K43" i="67"/>
  <c r="L43" i="67" s="1"/>
  <c r="K42" i="67"/>
  <c r="L42" i="67" s="1"/>
  <c r="H44" i="67"/>
  <c r="H43" i="67"/>
  <c r="I43" i="67" s="1"/>
  <c r="H42" i="67"/>
  <c r="I42" i="67" s="1"/>
  <c r="F40" i="74"/>
  <c r="F38" i="74"/>
  <c r="F65" i="63"/>
  <c r="F63" i="63"/>
  <c r="F116" i="89"/>
  <c r="F114" i="89"/>
  <c r="F143" i="90"/>
  <c r="F141" i="90"/>
  <c r="F140" i="90"/>
  <c r="F139" i="90"/>
  <c r="F138" i="90"/>
  <c r="K46" i="67" l="1"/>
  <c r="H46" i="67"/>
  <c r="L46" i="67"/>
  <c r="I46" i="67"/>
  <c r="D16" i="97" l="1"/>
  <c r="F22" i="60"/>
  <c r="D16" i="60"/>
  <c r="B16" i="60"/>
  <c r="F15" i="60"/>
  <c r="F14" i="60"/>
  <c r="F13" i="60"/>
  <c r="F12" i="60"/>
  <c r="F11" i="60"/>
  <c r="F10" i="60"/>
  <c r="F9" i="60"/>
  <c r="F8" i="60"/>
  <c r="F7" i="60"/>
  <c r="F6" i="60"/>
  <c r="F5" i="60"/>
  <c r="F4" i="60"/>
  <c r="J26" i="82"/>
  <c r="J19" i="82"/>
  <c r="J16" i="82"/>
  <c r="J15" i="82"/>
  <c r="J14" i="82"/>
  <c r="J13" i="82"/>
  <c r="J7" i="82"/>
  <c r="K20" i="70"/>
  <c r="I20" i="70"/>
  <c r="H20" i="70"/>
  <c r="G20" i="70"/>
  <c r="J20" i="70"/>
  <c r="M20" i="70"/>
  <c r="A3" i="70"/>
  <c r="A1" i="70"/>
  <c r="N32" i="67"/>
  <c r="O32" i="67" s="1"/>
  <c r="K32" i="67"/>
  <c r="L32" i="67" s="1"/>
  <c r="H32" i="67"/>
  <c r="I32" i="67" s="1"/>
  <c r="N31" i="67"/>
  <c r="O31" i="67" s="1"/>
  <c r="K31" i="67"/>
  <c r="L31" i="67" s="1"/>
  <c r="H31" i="67"/>
  <c r="I31" i="67" s="1"/>
  <c r="D31" i="67"/>
  <c r="N30" i="67"/>
  <c r="K30" i="67"/>
  <c r="L30" i="67" s="1"/>
  <c r="H30" i="67"/>
  <c r="D30" i="67"/>
  <c r="D29" i="67"/>
  <c r="K25" i="67"/>
  <c r="H25" i="67"/>
  <c r="L22" i="67"/>
  <c r="I22" i="67"/>
  <c r="D22" i="67"/>
  <c r="L21" i="67"/>
  <c r="I21" i="67"/>
  <c r="D21" i="67"/>
  <c r="L20" i="67"/>
  <c r="I20" i="67"/>
  <c r="D20" i="67"/>
  <c r="D16" i="67"/>
  <c r="A3" i="67"/>
  <c r="A1" i="67"/>
  <c r="E18" i="81"/>
  <c r="A3" i="81"/>
  <c r="A1" i="81"/>
  <c r="C41" i="87"/>
  <c r="E38" i="87"/>
  <c r="D38" i="87"/>
  <c r="C38" i="87"/>
  <c r="D36" i="87"/>
  <c r="D35" i="87"/>
  <c r="D34" i="87"/>
  <c r="D33" i="87"/>
  <c r="H29" i="87"/>
  <c r="G29" i="87"/>
  <c r="F29" i="87"/>
  <c r="E29" i="87"/>
  <c r="D29" i="87"/>
  <c r="C29" i="87"/>
  <c r="B26" i="87"/>
  <c r="B25" i="87"/>
  <c r="B24" i="87"/>
  <c r="B23" i="87"/>
  <c r="B22" i="87"/>
  <c r="B21" i="87"/>
  <c r="B20" i="87"/>
  <c r="B19" i="87"/>
  <c r="B18" i="87"/>
  <c r="B17" i="87"/>
  <c r="B16" i="87"/>
  <c r="H15" i="87"/>
  <c r="F15" i="87"/>
  <c r="A1" i="87"/>
  <c r="E3" i="33"/>
  <c r="B8" i="59"/>
  <c r="I30" i="86"/>
  <c r="H30" i="86"/>
  <c r="G30" i="86"/>
  <c r="E30" i="86"/>
  <c r="D30" i="86"/>
  <c r="C30" i="86"/>
  <c r="B28" i="86"/>
  <c r="B27" i="86"/>
  <c r="G26" i="86"/>
  <c r="B26" i="86"/>
  <c r="G25" i="86"/>
  <c r="B25" i="86"/>
  <c r="G24" i="86"/>
  <c r="B24" i="86"/>
  <c r="G23" i="86"/>
  <c r="B23" i="86"/>
  <c r="G22" i="86"/>
  <c r="B22" i="86"/>
  <c r="G21" i="86"/>
  <c r="B21" i="86"/>
  <c r="G20" i="86"/>
  <c r="B20" i="86"/>
  <c r="G19" i="86"/>
  <c r="B19" i="86"/>
  <c r="G18" i="86"/>
  <c r="B18" i="86"/>
  <c r="G17" i="86"/>
  <c r="E17" i="86"/>
  <c r="D17" i="86"/>
  <c r="C17" i="86"/>
  <c r="D10" i="86"/>
  <c r="C10" i="86"/>
  <c r="D9" i="86"/>
  <c r="D8" i="86"/>
  <c r="D7" i="86"/>
  <c r="C7" i="86"/>
  <c r="A1" i="86"/>
  <c r="A47" i="32"/>
  <c r="E44" i="32"/>
  <c r="E33" i="32"/>
  <c r="D33" i="32"/>
  <c r="C33" i="32"/>
  <c r="E32" i="32"/>
  <c r="D32" i="32"/>
  <c r="E31" i="32"/>
  <c r="D31" i="32"/>
  <c r="E30" i="32"/>
  <c r="D30" i="32"/>
  <c r="N26" i="32"/>
  <c r="M26" i="32"/>
  <c r="L26" i="32"/>
  <c r="K26" i="32"/>
  <c r="J26" i="32"/>
  <c r="I26" i="32"/>
  <c r="H26" i="32"/>
  <c r="G26" i="32"/>
  <c r="F26" i="32"/>
  <c r="E26" i="32"/>
  <c r="D26" i="32"/>
  <c r="C26" i="32"/>
  <c r="B26" i="32"/>
  <c r="G14" i="32"/>
  <c r="E14" i="32"/>
  <c r="I11" i="32"/>
  <c r="H11" i="32"/>
  <c r="I10" i="32"/>
  <c r="H10" i="32"/>
  <c r="I9" i="32"/>
  <c r="H9" i="32"/>
  <c r="N8" i="32"/>
  <c r="M8" i="32"/>
  <c r="I8" i="32"/>
  <c r="H8" i="32"/>
  <c r="I7" i="32"/>
  <c r="H7" i="32"/>
  <c r="A3" i="32"/>
  <c r="A1" i="32"/>
  <c r="A3" i="94"/>
  <c r="A1" i="94"/>
  <c r="E23" i="58"/>
  <c r="A3" i="58"/>
  <c r="A1" i="58"/>
  <c r="D21" i="84"/>
  <c r="D23" i="84" s="1"/>
  <c r="E3" i="84"/>
  <c r="E21" i="84" s="1"/>
  <c r="F28" i="52"/>
  <c r="A3" i="52"/>
  <c r="A1" i="52"/>
  <c r="E41" i="42"/>
  <c r="A3" i="42"/>
  <c r="A1" i="42"/>
  <c r="F14" i="76"/>
  <c r="F12" i="76"/>
  <c r="F11" i="76"/>
  <c r="A3" i="76"/>
  <c r="A1" i="76"/>
  <c r="E18" i="80"/>
  <c r="A3" i="80"/>
  <c r="A1" i="80"/>
  <c r="F15" i="75"/>
  <c r="A3" i="75"/>
  <c r="A1" i="75"/>
  <c r="A3" i="93"/>
  <c r="A1" i="93"/>
  <c r="G13" i="95"/>
  <c r="A3" i="95"/>
  <c r="C9" i="95" s="1"/>
  <c r="A1" i="95"/>
  <c r="A3" i="98"/>
  <c r="A1" i="98"/>
  <c r="O35" i="83"/>
  <c r="M35" i="83"/>
  <c r="N35" i="83" s="1"/>
  <c r="O34" i="83"/>
  <c r="N34" i="83"/>
  <c r="O32" i="83"/>
  <c r="M32" i="83"/>
  <c r="N32" i="83" s="1"/>
  <c r="O31" i="83"/>
  <c r="M31" i="83"/>
  <c r="N31" i="83" s="1"/>
  <c r="M28" i="83"/>
  <c r="N28" i="83" s="1"/>
  <c r="O26" i="83"/>
  <c r="M26" i="83"/>
  <c r="N26" i="83" s="1"/>
  <c r="A3" i="83"/>
  <c r="A1" i="83"/>
  <c r="G12" i="101"/>
  <c r="A3" i="101"/>
  <c r="A1" i="101"/>
  <c r="F17" i="100"/>
  <c r="F14" i="100"/>
  <c r="F23" i="100" s="1"/>
  <c r="A3" i="100"/>
  <c r="A1" i="100"/>
  <c r="A3" i="92"/>
  <c r="A1" i="92"/>
  <c r="F11" i="71"/>
  <c r="A1" i="71"/>
  <c r="E33" i="66"/>
  <c r="A3" i="66"/>
  <c r="A1" i="66"/>
  <c r="A3" i="57"/>
  <c r="A1" i="57"/>
  <c r="F23" i="54"/>
  <c r="F18" i="54"/>
  <c r="F15" i="54"/>
  <c r="A3" i="54"/>
  <c r="A1" i="54"/>
  <c r="F213" i="36"/>
  <c r="F242" i="36" s="1"/>
  <c r="F174" i="36"/>
  <c r="F236" i="36" s="1"/>
  <c r="F27" i="36"/>
  <c r="F141" i="36" s="1"/>
  <c r="F228" i="36" s="1"/>
  <c r="F18" i="36"/>
  <c r="F226" i="36" s="1"/>
  <c r="F13" i="36"/>
  <c r="A3" i="36"/>
  <c r="A1" i="36"/>
  <c r="L19" i="97"/>
  <c r="L21" i="97" s="1"/>
  <c r="D19" i="97"/>
  <c r="F19" i="97" s="1"/>
  <c r="D18" i="97"/>
  <c r="F18" i="97" s="1"/>
  <c r="D17" i="97"/>
  <c r="D15" i="97"/>
  <c r="D14" i="97"/>
  <c r="F14" i="97" s="1"/>
  <c r="D13" i="97"/>
  <c r="F13" i="97" s="1"/>
  <c r="N12" i="97"/>
  <c r="M12" i="97"/>
  <c r="L12" i="97"/>
  <c r="L14" i="97" s="1"/>
  <c r="D12" i="97"/>
  <c r="D11" i="97"/>
  <c r="F11" i="97" s="1"/>
  <c r="D10" i="97"/>
  <c r="G8" i="97"/>
  <c r="A3" i="97"/>
  <c r="A1" i="97"/>
  <c r="F15" i="78"/>
  <c r="F11" i="78"/>
  <c r="A3" i="78"/>
  <c r="A1" i="78"/>
  <c r="M36" i="73"/>
  <c r="L36" i="73"/>
  <c r="J36" i="73"/>
  <c r="J35" i="73"/>
  <c r="G29" i="73"/>
  <c r="H28" i="73"/>
  <c r="G28" i="73"/>
  <c r="F28" i="73"/>
  <c r="E28" i="73"/>
  <c r="D28" i="73"/>
  <c r="B28" i="73"/>
  <c r="H26" i="73"/>
  <c r="G26" i="73"/>
  <c r="F26" i="73"/>
  <c r="D26" i="73"/>
  <c r="H25" i="73"/>
  <c r="G25" i="73"/>
  <c r="F25" i="73"/>
  <c r="D25" i="73"/>
  <c r="H24" i="73"/>
  <c r="G24" i="73"/>
  <c r="F24" i="73"/>
  <c r="D24" i="73"/>
  <c r="H23" i="73"/>
  <c r="G23" i="73"/>
  <c r="F23" i="73"/>
  <c r="D23" i="73"/>
  <c r="H22" i="73"/>
  <c r="G22" i="73"/>
  <c r="F22" i="73"/>
  <c r="D22" i="73"/>
  <c r="H21" i="73"/>
  <c r="G21" i="73"/>
  <c r="F21" i="73"/>
  <c r="D21" i="73"/>
  <c r="H20" i="73"/>
  <c r="G20" i="73"/>
  <c r="F20" i="73"/>
  <c r="D20" i="73"/>
  <c r="H19" i="73"/>
  <c r="G19" i="73"/>
  <c r="F19" i="73"/>
  <c r="D19" i="73"/>
  <c r="B19" i="73"/>
  <c r="L18" i="73"/>
  <c r="H18" i="73"/>
  <c r="G18" i="73"/>
  <c r="F18" i="73"/>
  <c r="D18" i="73"/>
  <c r="H17" i="73"/>
  <c r="G17" i="73"/>
  <c r="F17" i="73"/>
  <c r="L16" i="73"/>
  <c r="H16" i="73"/>
  <c r="G16" i="73"/>
  <c r="F16" i="73"/>
  <c r="D16" i="73"/>
  <c r="H15" i="73"/>
  <c r="G15" i="73"/>
  <c r="F15" i="73"/>
  <c r="D15" i="73"/>
  <c r="B15" i="73"/>
  <c r="H14" i="73"/>
  <c r="G14" i="73"/>
  <c r="F14" i="73"/>
  <c r="B14" i="73"/>
  <c r="H13" i="73"/>
  <c r="G13" i="73"/>
  <c r="F13" i="73"/>
  <c r="D13" i="73"/>
  <c r="H12" i="73"/>
  <c r="G12" i="73"/>
  <c r="F12" i="73"/>
  <c r="D12" i="73"/>
  <c r="B12" i="73"/>
  <c r="L11" i="73"/>
  <c r="H11" i="73"/>
  <c r="G11" i="73"/>
  <c r="F11" i="73"/>
  <c r="H10" i="73"/>
  <c r="G10" i="73"/>
  <c r="F10" i="73"/>
  <c r="D10" i="73"/>
  <c r="N9" i="73"/>
  <c r="M9" i="73"/>
  <c r="L9" i="73"/>
  <c r="G9" i="73"/>
  <c r="F9" i="73"/>
  <c r="D9" i="73"/>
  <c r="H8" i="73"/>
  <c r="G8" i="73"/>
  <c r="F8" i="73"/>
  <c r="H7" i="73"/>
  <c r="G7" i="73"/>
  <c r="A3" i="73"/>
  <c r="A1" i="73"/>
  <c r="F33" i="96"/>
  <c r="F13" i="96"/>
  <c r="A3" i="96"/>
  <c r="A1" i="96"/>
  <c r="E13" i="79"/>
  <c r="A3" i="79"/>
  <c r="A1" i="79"/>
  <c r="E13" i="99"/>
  <c r="A3" i="99"/>
  <c r="A1" i="99"/>
  <c r="F12" i="74"/>
  <c r="F13" i="74" s="1"/>
  <c r="F14" i="74" s="1"/>
  <c r="F15" i="74" s="1"/>
  <c r="F16" i="74" s="1"/>
  <c r="F17" i="74" s="1"/>
  <c r="F18" i="74" s="1"/>
  <c r="F19" i="74" s="1"/>
  <c r="F20" i="74" s="1"/>
  <c r="F21" i="74" s="1"/>
  <c r="F22" i="74" s="1"/>
  <c r="F23" i="74" s="1"/>
  <c r="F24" i="74" s="1"/>
  <c r="F25" i="74" s="1"/>
  <c r="F26" i="74" s="1"/>
  <c r="F27" i="74" s="1"/>
  <c r="F28" i="74" s="1"/>
  <c r="F29" i="74" s="1"/>
  <c r="F30" i="74" s="1"/>
  <c r="F31" i="74" s="1"/>
  <c r="F32" i="74" s="1"/>
  <c r="F33" i="74" s="1"/>
  <c r="F34" i="74" s="1"/>
  <c r="F35" i="74" s="1"/>
  <c r="F36" i="74" s="1"/>
  <c r="F37" i="74" s="1"/>
  <c r="J15" i="72" s="1"/>
  <c r="F11" i="74"/>
  <c r="A3" i="74"/>
  <c r="A1" i="74"/>
  <c r="F12" i="63"/>
  <c r="F13" i="63" s="1"/>
  <c r="F14" i="63" s="1"/>
  <c r="F15" i="63" s="1"/>
  <c r="F16" i="63" s="1"/>
  <c r="F17" i="63" s="1"/>
  <c r="F18" i="63" s="1"/>
  <c r="F19" i="63" s="1"/>
  <c r="F20" i="63" s="1"/>
  <c r="F21" i="63" s="1"/>
  <c r="F22" i="63" s="1"/>
  <c r="F23" i="63" s="1"/>
  <c r="F24" i="63" s="1"/>
  <c r="F25" i="63" s="1"/>
  <c r="F26" i="63" s="1"/>
  <c r="F27" i="63" s="1"/>
  <c r="F28" i="63" s="1"/>
  <c r="F29" i="63" s="1"/>
  <c r="F30" i="63" s="1"/>
  <c r="F31" i="63" s="1"/>
  <c r="F32" i="63" s="1"/>
  <c r="F33" i="63" s="1"/>
  <c r="F34" i="63" s="1"/>
  <c r="F35" i="63" s="1"/>
  <c r="F36" i="63" s="1"/>
  <c r="F37" i="63" s="1"/>
  <c r="F38" i="63" s="1"/>
  <c r="F39" i="63" s="1"/>
  <c r="F40" i="63" s="1"/>
  <c r="F41" i="63" s="1"/>
  <c r="F42" i="63" s="1"/>
  <c r="F43" i="63" s="1"/>
  <c r="F44" i="63" s="1"/>
  <c r="F45" i="63" s="1"/>
  <c r="F46" i="63" s="1"/>
  <c r="F47" i="63" s="1"/>
  <c r="F48" i="63" s="1"/>
  <c r="F49" i="63" s="1"/>
  <c r="F50" i="63" s="1"/>
  <c r="F51" i="63" s="1"/>
  <c r="F52" i="63" s="1"/>
  <c r="F53" i="63" s="1"/>
  <c r="F54" i="63" s="1"/>
  <c r="F55" i="63" s="1"/>
  <c r="F56" i="63" s="1"/>
  <c r="F57" i="63" s="1"/>
  <c r="F58" i="63" s="1"/>
  <c r="F59" i="63" s="1"/>
  <c r="F60" i="63" s="1"/>
  <c r="F61" i="63" s="1"/>
  <c r="F62" i="63" s="1"/>
  <c r="F11" i="63"/>
  <c r="A3" i="63"/>
  <c r="A1" i="63"/>
  <c r="F12" i="89"/>
  <c r="F13" i="89" s="1"/>
  <c r="F14" i="89" s="1"/>
  <c r="F15" i="89" s="1"/>
  <c r="F16" i="89" s="1"/>
  <c r="F17" i="89" s="1"/>
  <c r="F18" i="89" s="1"/>
  <c r="F19" i="89" s="1"/>
  <c r="F20" i="89" s="1"/>
  <c r="F21" i="89" s="1"/>
  <c r="F22" i="89" s="1"/>
  <c r="F23" i="89" s="1"/>
  <c r="F24" i="89" s="1"/>
  <c r="F25" i="89" s="1"/>
  <c r="F26" i="89" s="1"/>
  <c r="F27" i="89" s="1"/>
  <c r="F28" i="89" s="1"/>
  <c r="F29" i="89" s="1"/>
  <c r="F30" i="89" s="1"/>
  <c r="F31" i="89" s="1"/>
  <c r="F32" i="89" s="1"/>
  <c r="F33" i="89" s="1"/>
  <c r="F34" i="89" s="1"/>
  <c r="F35" i="89" s="1"/>
  <c r="F36" i="89" s="1"/>
  <c r="F37" i="89" s="1"/>
  <c r="F38" i="89" s="1"/>
  <c r="F39" i="89" s="1"/>
  <c r="F40" i="89" s="1"/>
  <c r="F41" i="89" s="1"/>
  <c r="F42" i="89" s="1"/>
  <c r="F43" i="89" s="1"/>
  <c r="F44" i="89" s="1"/>
  <c r="F45" i="89" s="1"/>
  <c r="F46" i="89" s="1"/>
  <c r="F47" i="89" s="1"/>
  <c r="F48" i="89" s="1"/>
  <c r="F49" i="89" s="1"/>
  <c r="F50" i="89" s="1"/>
  <c r="F51" i="89" s="1"/>
  <c r="F52" i="89" s="1"/>
  <c r="F53" i="89" s="1"/>
  <c r="F54" i="89" s="1"/>
  <c r="F55" i="89" s="1"/>
  <c r="F56" i="89" s="1"/>
  <c r="F57" i="89" s="1"/>
  <c r="F58" i="89" s="1"/>
  <c r="F59" i="89" s="1"/>
  <c r="F60" i="89" s="1"/>
  <c r="F61" i="89" s="1"/>
  <c r="F62" i="89" s="1"/>
  <c r="F63" i="89" s="1"/>
  <c r="F64" i="89" s="1"/>
  <c r="F65" i="89" s="1"/>
  <c r="F66" i="89" s="1"/>
  <c r="F67" i="89" s="1"/>
  <c r="F68" i="89" s="1"/>
  <c r="F69" i="89" s="1"/>
  <c r="F70" i="89" s="1"/>
  <c r="F71" i="89" s="1"/>
  <c r="F72" i="89" s="1"/>
  <c r="F73" i="89" s="1"/>
  <c r="F74" i="89" s="1"/>
  <c r="F75" i="89" s="1"/>
  <c r="F76" i="89" s="1"/>
  <c r="F77" i="89" s="1"/>
  <c r="F78" i="89" s="1"/>
  <c r="F79" i="89" s="1"/>
  <c r="F80" i="89" s="1"/>
  <c r="F81" i="89" s="1"/>
  <c r="F82" i="89" s="1"/>
  <c r="F83" i="89" s="1"/>
  <c r="F84" i="89" s="1"/>
  <c r="F85" i="89" s="1"/>
  <c r="F86" i="89" s="1"/>
  <c r="F87" i="89" s="1"/>
  <c r="F88" i="89" s="1"/>
  <c r="F89" i="89" s="1"/>
  <c r="F90" i="89" s="1"/>
  <c r="F91" i="89" s="1"/>
  <c r="F92" i="89" s="1"/>
  <c r="F93" i="89" s="1"/>
  <c r="F94" i="89" s="1"/>
  <c r="F95" i="89" s="1"/>
  <c r="F96" i="89" s="1"/>
  <c r="F97" i="89" s="1"/>
  <c r="F98" i="89" s="1"/>
  <c r="F99" i="89" s="1"/>
  <c r="F100" i="89" s="1"/>
  <c r="F101" i="89" s="1"/>
  <c r="F102" i="89" s="1"/>
  <c r="F103" i="89" s="1"/>
  <c r="F104" i="89" s="1"/>
  <c r="F105" i="89" s="1"/>
  <c r="F106" i="89" s="1"/>
  <c r="F107" i="89" s="1"/>
  <c r="F108" i="89" s="1"/>
  <c r="F109" i="89" s="1"/>
  <c r="F110" i="89" s="1"/>
  <c r="F111" i="89" s="1"/>
  <c r="F112" i="89" s="1"/>
  <c r="F113" i="89" s="1"/>
  <c r="A3" i="89"/>
  <c r="A1" i="89"/>
  <c r="F178" i="91"/>
  <c r="F174" i="91"/>
  <c r="F173" i="91"/>
  <c r="F172" i="91"/>
  <c r="F171" i="91"/>
  <c r="F170" i="91"/>
  <c r="F169" i="91"/>
  <c r="F168" i="91"/>
  <c r="F167" i="91"/>
  <c r="F166" i="91"/>
  <c r="F165" i="91"/>
  <c r="F164" i="91"/>
  <c r="F163" i="91"/>
  <c r="F162" i="91"/>
  <c r="F161" i="91"/>
  <c r="F160" i="91"/>
  <c r="F159" i="91"/>
  <c r="F158" i="91"/>
  <c r="F157" i="91"/>
  <c r="F156" i="91"/>
  <c r="F155" i="91"/>
  <c r="F154" i="91"/>
  <c r="F153" i="91"/>
  <c r="F152" i="91"/>
  <c r="F151" i="91"/>
  <c r="F150" i="91"/>
  <c r="F149" i="91"/>
  <c r="F148" i="91"/>
  <c r="F147" i="91"/>
  <c r="F146" i="91"/>
  <c r="F145" i="91"/>
  <c r="F144" i="91"/>
  <c r="F143" i="91"/>
  <c r="F142" i="91"/>
  <c r="F141" i="91"/>
  <c r="F140" i="91"/>
  <c r="F139" i="91"/>
  <c r="F138" i="91"/>
  <c r="F137" i="91"/>
  <c r="F136" i="91"/>
  <c r="F135" i="91"/>
  <c r="F134" i="91"/>
  <c r="F133" i="91"/>
  <c r="F132" i="91"/>
  <c r="F131" i="91"/>
  <c r="F130" i="91"/>
  <c r="F129" i="91"/>
  <c r="F128" i="91"/>
  <c r="F127" i="91"/>
  <c r="F126" i="91"/>
  <c r="F125" i="91"/>
  <c r="F124" i="91"/>
  <c r="F123" i="91"/>
  <c r="F122" i="91"/>
  <c r="F121" i="91"/>
  <c r="F120" i="91"/>
  <c r="F119" i="91"/>
  <c r="F118" i="91"/>
  <c r="F117" i="91"/>
  <c r="F116" i="91"/>
  <c r="F115" i="91"/>
  <c r="F114" i="91"/>
  <c r="F113" i="91"/>
  <c r="F112" i="91"/>
  <c r="F111" i="91"/>
  <c r="F110" i="91"/>
  <c r="F109" i="91"/>
  <c r="F108" i="91"/>
  <c r="F107" i="91"/>
  <c r="F106" i="91"/>
  <c r="F105" i="91"/>
  <c r="F104" i="91"/>
  <c r="F103" i="91"/>
  <c r="F102" i="91"/>
  <c r="F101" i="91"/>
  <c r="F100" i="91"/>
  <c r="F99" i="91"/>
  <c r="F98" i="91"/>
  <c r="F97" i="91"/>
  <c r="F96" i="91"/>
  <c r="F95" i="91"/>
  <c r="F94" i="91"/>
  <c r="F93" i="91"/>
  <c r="F92" i="91"/>
  <c r="F91" i="91"/>
  <c r="F90" i="91"/>
  <c r="F89" i="91"/>
  <c r="F88" i="91"/>
  <c r="F87" i="91"/>
  <c r="F86" i="91"/>
  <c r="F85" i="91"/>
  <c r="F84" i="91"/>
  <c r="F83" i="91"/>
  <c r="F82" i="91"/>
  <c r="F81" i="91"/>
  <c r="F80" i="91"/>
  <c r="F79" i="91"/>
  <c r="F78" i="91"/>
  <c r="F77" i="91"/>
  <c r="F76" i="91"/>
  <c r="F75" i="91"/>
  <c r="F74" i="91"/>
  <c r="F73" i="91"/>
  <c r="F72" i="91"/>
  <c r="F71" i="91"/>
  <c r="F70" i="91"/>
  <c r="F69" i="91"/>
  <c r="F68" i="91"/>
  <c r="F67" i="91"/>
  <c r="F66" i="91"/>
  <c r="F65" i="91"/>
  <c r="F64" i="91"/>
  <c r="F63" i="91"/>
  <c r="F62" i="91"/>
  <c r="F61" i="91"/>
  <c r="F60" i="91"/>
  <c r="F59" i="91"/>
  <c r="F58" i="91"/>
  <c r="F57" i="91"/>
  <c r="F56" i="91"/>
  <c r="F55" i="91"/>
  <c r="F54" i="91"/>
  <c r="F53" i="91"/>
  <c r="F52" i="91"/>
  <c r="F51" i="91"/>
  <c r="F50" i="91"/>
  <c r="F49" i="91"/>
  <c r="F48" i="91"/>
  <c r="F47" i="91"/>
  <c r="F46" i="91"/>
  <c r="F45" i="91"/>
  <c r="F44" i="91"/>
  <c r="F43" i="91"/>
  <c r="F42" i="91"/>
  <c r="F41" i="91"/>
  <c r="F40" i="91"/>
  <c r="F39" i="91"/>
  <c r="F38" i="91"/>
  <c r="F37" i="91"/>
  <c r="F36" i="91"/>
  <c r="F35" i="91"/>
  <c r="F34" i="91"/>
  <c r="F33" i="91"/>
  <c r="F32" i="91"/>
  <c r="F31" i="91"/>
  <c r="F30" i="91"/>
  <c r="F29" i="91"/>
  <c r="F28" i="91"/>
  <c r="F27" i="91"/>
  <c r="F26" i="91"/>
  <c r="F25" i="91"/>
  <c r="F24" i="91"/>
  <c r="F23" i="91"/>
  <c r="F22" i="91"/>
  <c r="F21" i="91"/>
  <c r="F20" i="91"/>
  <c r="F19" i="91"/>
  <c r="F18" i="91"/>
  <c r="F17" i="91"/>
  <c r="F16" i="91"/>
  <c r="F15" i="91"/>
  <c r="F14" i="91"/>
  <c r="F13" i="91"/>
  <c r="F12" i="91"/>
  <c r="A3" i="91"/>
  <c r="A1" i="91"/>
  <c r="F34" i="72"/>
  <c r="J16" i="72"/>
  <c r="J13" i="72"/>
  <c r="J11" i="72"/>
  <c r="F11" i="72"/>
  <c r="J10" i="72"/>
  <c r="I10" i="72"/>
  <c r="A3" i="72"/>
  <c r="A1" i="72"/>
  <c r="F12" i="90"/>
  <c r="F13" i="90" s="1"/>
  <c r="F14" i="90" s="1"/>
  <c r="F15" i="90" s="1"/>
  <c r="F16" i="90" s="1"/>
  <c r="F17" i="90" s="1"/>
  <c r="F18" i="90" s="1"/>
  <c r="F19" i="90" s="1"/>
  <c r="F20" i="90" s="1"/>
  <c r="F21" i="90" s="1"/>
  <c r="F22" i="90" s="1"/>
  <c r="F23" i="90" s="1"/>
  <c r="F24" i="90" s="1"/>
  <c r="F25" i="90" s="1"/>
  <c r="F26" i="90" s="1"/>
  <c r="F27" i="90" s="1"/>
  <c r="F28" i="90" s="1"/>
  <c r="F29" i="90" s="1"/>
  <c r="F30" i="90" s="1"/>
  <c r="F31" i="90" s="1"/>
  <c r="F32" i="90" s="1"/>
  <c r="F33" i="90" s="1"/>
  <c r="F34" i="90" s="1"/>
  <c r="F35" i="90" s="1"/>
  <c r="F36" i="90" s="1"/>
  <c r="F37" i="90" s="1"/>
  <c r="F38" i="90" s="1"/>
  <c r="F39" i="90" s="1"/>
  <c r="F40" i="90" s="1"/>
  <c r="F41" i="90" s="1"/>
  <c r="F42" i="90" s="1"/>
  <c r="F43" i="90" s="1"/>
  <c r="F44" i="90" s="1"/>
  <c r="F45" i="90" s="1"/>
  <c r="F46" i="90" s="1"/>
  <c r="F47" i="90" s="1"/>
  <c r="F48" i="90" s="1"/>
  <c r="F49" i="90" s="1"/>
  <c r="F50" i="90" s="1"/>
  <c r="F51" i="90" s="1"/>
  <c r="F52" i="90" s="1"/>
  <c r="F53" i="90" s="1"/>
  <c r="F54" i="90" s="1"/>
  <c r="F55" i="90" s="1"/>
  <c r="F56" i="90" s="1"/>
  <c r="F57" i="90" s="1"/>
  <c r="F58" i="90" s="1"/>
  <c r="F59" i="90" s="1"/>
  <c r="F60" i="90" s="1"/>
  <c r="F61" i="90" s="1"/>
  <c r="F62" i="90" s="1"/>
  <c r="F63" i="90" s="1"/>
  <c r="F64" i="90" s="1"/>
  <c r="F65" i="90" s="1"/>
  <c r="F66" i="90" s="1"/>
  <c r="F67" i="90" s="1"/>
  <c r="F68" i="90" s="1"/>
  <c r="F69" i="90" s="1"/>
  <c r="F70" i="90" s="1"/>
  <c r="F71" i="90" s="1"/>
  <c r="F72" i="90" s="1"/>
  <c r="F73" i="90" s="1"/>
  <c r="F74" i="90" s="1"/>
  <c r="F75" i="90" s="1"/>
  <c r="F76" i="90" s="1"/>
  <c r="F77" i="90" s="1"/>
  <c r="F78" i="90" s="1"/>
  <c r="F79" i="90" s="1"/>
  <c r="F80" i="90" s="1"/>
  <c r="F81" i="90" s="1"/>
  <c r="F82" i="90" s="1"/>
  <c r="F83" i="90" s="1"/>
  <c r="F84" i="90" s="1"/>
  <c r="F85" i="90" s="1"/>
  <c r="F86" i="90" s="1"/>
  <c r="F87" i="90" s="1"/>
  <c r="F88" i="90" s="1"/>
  <c r="F89" i="90" s="1"/>
  <c r="F90" i="90" s="1"/>
  <c r="F91" i="90" s="1"/>
  <c r="F92" i="90" s="1"/>
  <c r="F93" i="90" s="1"/>
  <c r="F94" i="90" s="1"/>
  <c r="F95" i="90" s="1"/>
  <c r="F96" i="90" s="1"/>
  <c r="F97" i="90" s="1"/>
  <c r="F98" i="90" s="1"/>
  <c r="F99" i="90" s="1"/>
  <c r="F100" i="90" s="1"/>
  <c r="F101" i="90" s="1"/>
  <c r="F102" i="90" s="1"/>
  <c r="F103" i="90" s="1"/>
  <c r="F104" i="90" s="1"/>
  <c r="F105" i="90" s="1"/>
  <c r="F106" i="90" s="1"/>
  <c r="F107" i="90" s="1"/>
  <c r="F108" i="90" s="1"/>
  <c r="F109" i="90" s="1"/>
  <c r="F110" i="90" s="1"/>
  <c r="F111" i="90" s="1"/>
  <c r="F112" i="90" s="1"/>
  <c r="F113" i="90" s="1"/>
  <c r="F114" i="90" s="1"/>
  <c r="F115" i="90" s="1"/>
  <c r="F116" i="90" s="1"/>
  <c r="F117" i="90" s="1"/>
  <c r="F118" i="90" s="1"/>
  <c r="F119" i="90" s="1"/>
  <c r="F120" i="90" s="1"/>
  <c r="F121" i="90" s="1"/>
  <c r="F122" i="90" s="1"/>
  <c r="F123" i="90" s="1"/>
  <c r="F124" i="90" s="1"/>
  <c r="F125" i="90" s="1"/>
  <c r="F126" i="90" s="1"/>
  <c r="F127" i="90" s="1"/>
  <c r="F128" i="90" s="1"/>
  <c r="F129" i="90" s="1"/>
  <c r="F130" i="90" s="1"/>
  <c r="F131" i="90" s="1"/>
  <c r="F132" i="90" s="1"/>
  <c r="F133" i="90" s="1"/>
  <c r="F134" i="90" s="1"/>
  <c r="F135" i="90" s="1"/>
  <c r="F136" i="90" s="1"/>
  <c r="F137" i="90" s="1"/>
  <c r="F11" i="90"/>
  <c r="A3" i="90"/>
  <c r="A1" i="90"/>
  <c r="F17" i="88"/>
  <c r="F12" i="88"/>
  <c r="F11" i="88"/>
  <c r="A3" i="88"/>
  <c r="A1" i="88"/>
  <c r="I27" i="25"/>
  <c r="E27" i="25"/>
  <c r="D27" i="25"/>
  <c r="C27" i="25"/>
  <c r="K27" i="24"/>
  <c r="G27" i="24"/>
  <c r="F27" i="24"/>
  <c r="E27" i="24"/>
  <c r="I29" i="20"/>
  <c r="E29" i="20"/>
  <c r="D29" i="20"/>
  <c r="C29" i="20"/>
  <c r="B30" i="18"/>
  <c r="B23" i="18"/>
  <c r="A10" i="18"/>
  <c r="H21" i="9"/>
  <c r="G21" i="9"/>
  <c r="F21" i="9"/>
  <c r="E21" i="9"/>
  <c r="A10" i="9"/>
  <c r="E27" i="19"/>
  <c r="E23" i="19"/>
  <c r="E22" i="19"/>
  <c r="E21" i="19"/>
  <c r="A9" i="19"/>
  <c r="B25" i="16"/>
  <c r="A10" i="16"/>
  <c r="C24" i="15"/>
  <c r="B24" i="15"/>
  <c r="G27" i="14"/>
  <c r="F27" i="14"/>
  <c r="K66" i="30"/>
  <c r="J66" i="30"/>
  <c r="I66" i="30"/>
  <c r="H66" i="30"/>
  <c r="G66" i="30"/>
  <c r="F66" i="30"/>
  <c r="E66" i="30"/>
  <c r="D66" i="30"/>
  <c r="B66" i="30"/>
  <c r="K11" i="30"/>
  <c r="J11" i="30"/>
  <c r="E11" i="30"/>
  <c r="D11" i="30"/>
  <c r="K66" i="13"/>
  <c r="J66" i="13"/>
  <c r="F66" i="13"/>
  <c r="E66" i="13"/>
  <c r="B66" i="13"/>
  <c r="K61" i="12"/>
  <c r="G61" i="12"/>
  <c r="F61" i="12"/>
  <c r="E61" i="12"/>
  <c r="B25" i="31"/>
  <c r="B28" i="11"/>
  <c r="A10" i="11"/>
  <c r="B29" i="10"/>
  <c r="A10" i="10"/>
  <c r="H28" i="29"/>
  <c r="H17" i="29"/>
  <c r="G17" i="29"/>
  <c r="F17" i="29"/>
  <c r="H16" i="29"/>
  <c r="G16" i="29"/>
  <c r="F16" i="29"/>
  <c r="H15" i="29"/>
  <c r="G15" i="29"/>
  <c r="F15" i="29"/>
  <c r="H14" i="29"/>
  <c r="G14" i="29"/>
  <c r="F14" i="29"/>
  <c r="A10" i="29"/>
  <c r="B25" i="8"/>
  <c r="A10" i="8"/>
  <c r="B24" i="5"/>
  <c r="A10" i="5"/>
  <c r="B20" i="4"/>
  <c r="A9" i="4"/>
  <c r="D26" i="3"/>
  <c r="D37" i="2"/>
  <c r="A10" i="2"/>
  <c r="H38" i="28"/>
  <c r="H23" i="28"/>
  <c r="D6" i="28"/>
  <c r="F35" i="1"/>
  <c r="F30" i="1"/>
  <c r="C12" i="107" l="1"/>
  <c r="E12" i="107" s="1"/>
  <c r="E16" i="99"/>
  <c r="C15" i="107"/>
  <c r="E15" i="107" s="1"/>
  <c r="F26" i="54"/>
  <c r="F224" i="36"/>
  <c r="C23" i="107"/>
  <c r="E23" i="107" s="1"/>
  <c r="E98" i="58"/>
  <c r="E16" i="79"/>
  <c r="C11" i="107"/>
  <c r="E11" i="107" s="1"/>
  <c r="F10" i="97"/>
  <c r="G10" i="97" s="1"/>
  <c r="F12" i="97"/>
  <c r="G12" i="97" s="1"/>
  <c r="F15" i="97"/>
  <c r="G15" i="97" s="1"/>
  <c r="F16" i="97"/>
  <c r="G16" i="97" s="1"/>
  <c r="G11" i="97"/>
  <c r="G13" i="97"/>
  <c r="G14" i="97"/>
  <c r="G18" i="97"/>
  <c r="G19" i="97"/>
  <c r="G9" i="97"/>
  <c r="D33" i="97"/>
  <c r="P26" i="83"/>
  <c r="F26" i="83" s="1"/>
  <c r="C37" i="107"/>
  <c r="E37" i="107" s="1"/>
  <c r="C29" i="107"/>
  <c r="E29" i="107" s="1"/>
  <c r="G16" i="95"/>
  <c r="C19" i="107"/>
  <c r="E19" i="107" s="1"/>
  <c r="C20" i="107"/>
  <c r="E20" i="107" s="1"/>
  <c r="C21" i="107"/>
  <c r="E21" i="107" s="1"/>
  <c r="L25" i="67"/>
  <c r="H35" i="67"/>
  <c r="D34" i="67"/>
  <c r="D25" i="67"/>
  <c r="I25" i="67"/>
  <c r="P31" i="83"/>
  <c r="F31" i="83" s="1"/>
  <c r="P34" i="83"/>
  <c r="F34" i="83" s="1"/>
  <c r="P28" i="83"/>
  <c r="F28" i="83" s="1"/>
  <c r="H16" i="67"/>
  <c r="H37" i="67" s="1"/>
  <c r="I12" i="74"/>
  <c r="J14" i="72"/>
  <c r="N35" i="67"/>
  <c r="I30" i="67"/>
  <c r="I35" i="67" s="1"/>
  <c r="O30" i="67"/>
  <c r="O35" i="67" s="1"/>
  <c r="K35" i="67"/>
  <c r="L35" i="67"/>
  <c r="P35" i="83"/>
  <c r="F35" i="83" s="1"/>
  <c r="P32" i="83"/>
  <c r="F32" i="83" s="1"/>
  <c r="H33" i="97" l="1"/>
  <c r="H36" i="97" s="1"/>
  <c r="G33" i="97"/>
  <c r="F33" i="97"/>
  <c r="F52" i="83"/>
  <c r="C16" i="107"/>
  <c r="E16" i="107" s="1"/>
  <c r="J33" i="72"/>
  <c r="J18" i="72"/>
  <c r="G36" i="97" l="1"/>
  <c r="C13" i="107"/>
  <c r="C40" i="107"/>
  <c r="E40" i="107" s="1"/>
  <c r="C14" i="107" l="1"/>
  <c r="E14" i="107" s="1"/>
  <c r="F29" i="5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<sst xmlns="http://schemas.openxmlformats.org/spreadsheetml/2006/main" count="3199" uniqueCount="1542">
  <si>
    <t>MONTHLY REPORTING REQUIREMENTS</t>
  </si>
  <si>
    <t xml:space="preserve">       Site Reports</t>
  </si>
  <si>
    <t>REGENCY BRESSI, LLC</t>
  </si>
  <si>
    <t>Petty Cash Reconciliation</t>
  </si>
  <si>
    <t>For the month ended :</t>
  </si>
  <si>
    <t>Beginning Cash Balance</t>
  </si>
  <si>
    <t>Add</t>
  </si>
  <si>
    <t>Funding from Chase Account</t>
  </si>
  <si>
    <t>Deduct</t>
  </si>
  <si>
    <t>Current Month Receipts</t>
  </si>
  <si>
    <t>Description</t>
  </si>
  <si>
    <t>Amount</t>
  </si>
  <si>
    <t>Ending Cash Balance</t>
  </si>
  <si>
    <t xml:space="preserve">                MRI Implementation for Cornerstone</t>
  </si>
  <si>
    <t>Athena Management, Inc</t>
  </si>
  <si>
    <t>REGENCY BRESSI, LLC - #3502</t>
  </si>
  <si>
    <t>Bank Reconciliation</t>
  </si>
  <si>
    <t>BANK NAME:</t>
  </si>
  <si>
    <t>JP Morgan Chase</t>
  </si>
  <si>
    <t>ACCOUNT #:</t>
  </si>
  <si>
    <t>BANK STATEMENT</t>
  </si>
  <si>
    <t>Bank Balance</t>
  </si>
  <si>
    <t xml:space="preserve"> </t>
  </si>
  <si>
    <t>Plus: Deposits in Transit</t>
  </si>
  <si>
    <t>Less: Outstanding Checks (See Outstanding Check Listing)</t>
  </si>
  <si>
    <t xml:space="preserve">Adjustment: </t>
  </si>
  <si>
    <t>Adjusted Bank Balance</t>
  </si>
  <si>
    <t>GENERAL LEDGER</t>
  </si>
  <si>
    <t xml:space="preserve">Balance per General Ledger A/C #1020-000: </t>
  </si>
  <si>
    <t>BANK REC ADJUSTMENTS TO BE RECORDED ON CASH BKS IN NEXT MONTH</t>
  </si>
  <si>
    <t>DIVIDEND PAID</t>
  </si>
  <si>
    <t>SWEEP FEE</t>
  </si>
  <si>
    <t>ANALYSIS CHARGE</t>
  </si>
  <si>
    <t>Prepared by:</t>
  </si>
  <si>
    <t>Prelim Approval:</t>
  </si>
  <si>
    <t>Date:</t>
  </si>
  <si>
    <t>Final Approval:</t>
  </si>
  <si>
    <t>Site Reports</t>
  </si>
  <si>
    <t>Security Deposit  Cash Account- Account 21100000</t>
  </si>
  <si>
    <t xml:space="preserve">Statutory Report for the period ending: </t>
  </si>
  <si>
    <t>Date</t>
  </si>
  <si>
    <t>Property Name</t>
  </si>
  <si>
    <t>Amount
Earned</t>
  </si>
  <si>
    <t>Board and Brew</t>
  </si>
  <si>
    <t>Cha Dry Cleaners</t>
  </si>
  <si>
    <t>Carisbad Optometry</t>
  </si>
  <si>
    <t>Happiness Nails</t>
  </si>
  <si>
    <t>Xtreme Frozen Yogurt</t>
  </si>
  <si>
    <t>Jojo Be, LLC</t>
  </si>
  <si>
    <t>Tomaso Restaurant Group</t>
  </si>
  <si>
    <t>FROOTS 4 U, LLC</t>
  </si>
  <si>
    <t>Postal Annex</t>
  </si>
  <si>
    <t>Kyss Boutique, LLC</t>
  </si>
  <si>
    <t>Perfectly at Home</t>
  </si>
  <si>
    <t>Premier Food Concepts</t>
  </si>
  <si>
    <t>Ollie &amp; Me, LLC</t>
  </si>
  <si>
    <t>Henderson Corporation</t>
  </si>
  <si>
    <t>4G Wireless, Inc.</t>
  </si>
  <si>
    <t>CCCC Bar, LLC</t>
  </si>
  <si>
    <t>RAM Food Group, Inc.</t>
  </si>
  <si>
    <t>Genocera - European Wax Center</t>
  </si>
  <si>
    <t>Elevation Burger</t>
  </si>
  <si>
    <t>Total</t>
  </si>
  <si>
    <t>MRI Implementation for Cornerstone</t>
  </si>
  <si>
    <t xml:space="preserve">                    Site Reports</t>
  </si>
  <si>
    <t>Utility Deposits</t>
  </si>
  <si>
    <t>As of:_________</t>
  </si>
  <si>
    <t>Utility Company</t>
  </si>
  <si>
    <t>Total Deposit</t>
  </si>
  <si>
    <t xml:space="preserve">Total per GL </t>
  </si>
  <si>
    <t xml:space="preserve">                   MRI Implementation for Cornerstone</t>
  </si>
  <si>
    <t xml:space="preserve">               SKYLINE Implementation for Cornerstone</t>
  </si>
  <si>
    <t>MONTHLY REPORTING REQUIREMENTS                      Site Reports</t>
  </si>
  <si>
    <t>Allowance for Doubtful Accounts - 10900000</t>
  </si>
  <si>
    <t xml:space="preserve">As of </t>
  </si>
  <si>
    <t xml:space="preserve">The Property Manager has performed a review of all delinquent rents with the following findings and </t>
  </si>
  <si>
    <t>recommendations.</t>
  </si>
  <si>
    <t>Tenant Name</t>
  </si>
  <si>
    <t>Amount
Reserved</t>
  </si>
  <si>
    <t>Comments/Status of Collection</t>
  </si>
  <si>
    <t>Kyss Boutique</t>
  </si>
  <si>
    <t>Tenant downsize. Suggest to write-off balance.</t>
  </si>
  <si>
    <t>JPMorgan Chase</t>
  </si>
  <si>
    <t>Review tenant account to confirm correct charges.</t>
  </si>
  <si>
    <t>Hendo's Local Pizza</t>
  </si>
  <si>
    <t xml:space="preserve">Total Reserve per G/L </t>
  </si>
  <si>
    <t xml:space="preserve">                                         MRI Implementation for Cornerstone</t>
  </si>
  <si>
    <t xml:space="preserve">                          Site Reports</t>
  </si>
  <si>
    <t>YTD Bad Debt Write-Offs</t>
  </si>
  <si>
    <t>As of:</t>
  </si>
  <si>
    <t>Name of Tenant</t>
  </si>
  <si>
    <t>Total Write-off</t>
  </si>
  <si>
    <t>Reason for Write-off</t>
  </si>
  <si>
    <t>(List by Tenant)</t>
  </si>
  <si>
    <t>(Total of all charges)</t>
  </si>
  <si>
    <t>(Summary of Reasons)</t>
  </si>
  <si>
    <t>Total Accounts written off YTD</t>
  </si>
  <si>
    <t>*YTD Bad Expense per the G/L should equal the sum of:</t>
  </si>
  <si>
    <r>
      <t xml:space="preserve">(1)  All direct write-offs of accounts receivable balances (amounts </t>
    </r>
    <r>
      <rPr>
        <u/>
        <sz val="10"/>
        <rFont val="Arial"/>
        <family val="2"/>
      </rPr>
      <t>NOT</t>
    </r>
    <r>
      <rPr>
        <sz val="10"/>
        <rFont val="Arial"/>
        <family val="2"/>
      </rPr>
      <t xml:space="preserve"> previously reserved).</t>
    </r>
  </si>
  <si>
    <r>
      <t xml:space="preserve">(2) The </t>
    </r>
    <r>
      <rPr>
        <u/>
        <sz val="10"/>
        <rFont val="Arial"/>
        <family val="2"/>
      </rPr>
      <t>Net Current Year</t>
    </r>
    <r>
      <rPr>
        <sz val="10"/>
        <rFont val="Arial"/>
        <family val="2"/>
      </rPr>
      <t xml:space="preserve"> provision to account 1090 - Allowance for Doubtful Accounts.</t>
    </r>
  </si>
  <si>
    <t xml:space="preserve">                               MRI Implementation for Cornerstone</t>
  </si>
  <si>
    <t xml:space="preserve">                             Site Reports</t>
  </si>
  <si>
    <t>Other Receivables - Account 11000000</t>
  </si>
  <si>
    <t>As of</t>
  </si>
  <si>
    <t>Receivable Due From</t>
  </si>
  <si>
    <t>Total Amount</t>
  </si>
  <si>
    <t>ELEVATION BURGER</t>
  </si>
  <si>
    <t>MONUMENT SIGN REIMBURSEMENTS</t>
  </si>
  <si>
    <t xml:space="preserve">TOMMY V'S </t>
  </si>
  <si>
    <t>THE BAR METHOD</t>
  </si>
  <si>
    <t>CHASE BANK</t>
  </si>
  <si>
    <t>SUPERCUTS</t>
  </si>
  <si>
    <t>EUROPEAN WAX CENTER</t>
  </si>
  <si>
    <t>General Ledger Balance</t>
  </si>
  <si>
    <t xml:space="preserve">                                              MRI Implementation for Cornerstone</t>
  </si>
  <si>
    <t xml:space="preserve">                                Site Reports</t>
  </si>
  <si>
    <t>Prepaid Insurance - Account 11200000</t>
  </si>
  <si>
    <t>As of :</t>
  </si>
  <si>
    <t>Prepaid To:</t>
  </si>
  <si>
    <t>Period</t>
  </si>
  <si>
    <t>Days/Mo</t>
  </si>
  <si>
    <t>Total Amount Paid</t>
  </si>
  <si>
    <t>Monthly Exp</t>
  </si>
  <si>
    <t>YTD Exp</t>
  </si>
  <si>
    <t>Prepaid Bal</t>
  </si>
  <si>
    <t>Marsh USA</t>
  </si>
  <si>
    <t>5/24/11-2/15/13</t>
  </si>
  <si>
    <t xml:space="preserve">Pollution Legal Liability Insurance </t>
  </si>
  <si>
    <t>8/01/11-8/01/12</t>
  </si>
  <si>
    <t xml:space="preserve">Property Insurance </t>
  </si>
  <si>
    <t xml:space="preserve">General Liability Insurance </t>
  </si>
  <si>
    <t>Excess Liability Insurance</t>
  </si>
  <si>
    <t xml:space="preserve">                                                  MRI Implementation for Cornerstone</t>
  </si>
  <si>
    <t>Other Prepaids - Account 11300000</t>
  </si>
  <si>
    <t xml:space="preserve">  Site Reports</t>
  </si>
  <si>
    <t>\</t>
  </si>
  <si>
    <t>"Property Name"</t>
  </si>
  <si>
    <t>Other Assets - Account 11900000</t>
  </si>
  <si>
    <t xml:space="preserve">As of: </t>
  </si>
  <si>
    <t>Definition</t>
  </si>
  <si>
    <t>&lt;Type Of Asset&gt;</t>
  </si>
  <si>
    <t xml:space="preserve">                                                    MRI Implementation for Cornerstone</t>
  </si>
  <si>
    <t>Tenant Installation Cost - Account 13200000</t>
  </si>
  <si>
    <t>As of: 9/30/11</t>
  </si>
  <si>
    <t>Tenant</t>
  </si>
  <si>
    <t>4G Wireless</t>
  </si>
  <si>
    <t>Tenant Improvement Reimbursement</t>
  </si>
  <si>
    <t>Hendo's Local Pizza &amp; Pint</t>
  </si>
  <si>
    <t>Supercuts</t>
  </si>
  <si>
    <t>Leasing Costs Schedule - 13250000</t>
  </si>
  <si>
    <t>Broker(s) Name</t>
  </si>
  <si>
    <t>Lease Terms
Start Date</t>
  </si>
  <si>
    <t>Lease Terms
End Date</t>
  </si>
  <si>
    <t>Actual 
$ MTD</t>
  </si>
  <si>
    <t>Actual 
$ YTD</t>
  </si>
  <si>
    <t>YTD 
Budget</t>
  </si>
  <si>
    <t>Actual 
vs. Budget</t>
  </si>
  <si>
    <r>
      <t>Note:</t>
    </r>
    <r>
      <rPr>
        <sz val="9"/>
        <rFont val="Arial"/>
        <family val="2"/>
      </rPr>
      <t xml:space="preserve"> This schedule should include not only new monthly expenditures, but also a history of what has been spent YTD (a carry forward type schedule).</t>
    </r>
  </si>
  <si>
    <t xml:space="preserve">         MRI Implementation for Cornerstone</t>
  </si>
  <si>
    <t xml:space="preserve">      Site Reports</t>
  </si>
  <si>
    <t>Amortization Lease Costs - 13350000</t>
  </si>
  <si>
    <t>Life/Term</t>
  </si>
  <si>
    <t># of 
Months</t>
  </si>
  <si>
    <t>Monthly 
Depr/Amort Exp</t>
  </si>
  <si>
    <t>Total Lease
Cost Paid</t>
  </si>
  <si>
    <t>YTD
Expense</t>
  </si>
  <si>
    <t>Accum
Depreciation</t>
  </si>
  <si>
    <t xml:space="preserve">                              MRI Implementation for Cornerstone</t>
  </si>
  <si>
    <t>Amortization Finance Costs - 13910000</t>
  </si>
  <si>
    <t>Loan</t>
  </si>
  <si>
    <t>Midland Loan #770000314</t>
  </si>
  <si>
    <t xml:space="preserve">                 Site Reports</t>
  </si>
  <si>
    <t>Free Rent</t>
  </si>
  <si>
    <t xml:space="preserve"> Commence
Date</t>
  </si>
  <si>
    <t>Expiration
Date</t>
  </si>
  <si>
    <t>Unamortized Balance</t>
  </si>
  <si>
    <t>Amortization</t>
  </si>
  <si>
    <t>&lt;List by Tenant&gt;</t>
  </si>
  <si>
    <t>(Calculation of net amortized</t>
  </si>
  <si>
    <t xml:space="preserve"> free rent Tenant Balance </t>
  </si>
  <si>
    <t>in Account 1195)</t>
  </si>
  <si>
    <r>
      <t>Note:</t>
    </r>
    <r>
      <rPr>
        <sz val="9"/>
        <rFont val="Arial"/>
        <family val="2"/>
      </rPr>
      <t xml:space="preserve"> This schedule should include not only new monthly expenditures, but also a history of what has been spent to Date (a carry forward type schedule).</t>
    </r>
  </si>
  <si>
    <t xml:space="preserve">           MRI Implementation for Cornerstone</t>
  </si>
  <si>
    <t xml:space="preserve">                     Site Reports</t>
  </si>
  <si>
    <t>&lt;Enter Property Name Here&gt;</t>
  </si>
  <si>
    <t>Accrued Sales Tax - Account 20300000</t>
  </si>
  <si>
    <t>Name of Taxing Authority</t>
  </si>
  <si>
    <t>Aging of Balance Due
30, 60 or 90 day</t>
  </si>
  <si>
    <t>Current Balance per the GL</t>
  </si>
  <si>
    <t>Accrued Leasing Commission - Account 20600000</t>
  </si>
  <si>
    <t>Broker Name</t>
  </si>
  <si>
    <t>Amount Due</t>
  </si>
  <si>
    <t>Due Date</t>
  </si>
  <si>
    <t>Lease Effective
Date</t>
  </si>
  <si>
    <t>Lease Expiration
Date</t>
  </si>
  <si>
    <t>*Total must tie to balance per the G\L.</t>
  </si>
  <si>
    <t xml:space="preserve">            MRI Implementation for Cornerstone</t>
  </si>
  <si>
    <t xml:space="preserve">                  Site Reports</t>
  </si>
  <si>
    <t>Management Fee  - Account 2094000</t>
  </si>
  <si>
    <t xml:space="preserve">For the month ending: </t>
  </si>
  <si>
    <t>Basis for Calculation</t>
  </si>
  <si>
    <t>Management Fee %</t>
  </si>
  <si>
    <t>Fee Due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</si>
  <si>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</si>
  <si>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</si>
  <si>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</si>
  <si>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</si>
  <si>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</si>
  <si>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</si>
  <si>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</si>
  <si>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</si>
  <si>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</si>
  <si>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</si>
  <si>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</si>
  <si>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</si>
  <si>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                    MRI Implementation for Cornerstone</t>
  </si>
  <si>
    <t>Prepaid Insurance - Account 2100000</t>
  </si>
  <si>
    <t>CoverageType</t>
  </si>
  <si>
    <t xml:space="preserve"> Preminum Commence
Date</t>
  </si>
  <si>
    <t>Premium Expiration
Date</t>
  </si>
  <si>
    <t>Number of Months</t>
  </si>
  <si>
    <t>Monthly Amortization</t>
  </si>
  <si>
    <t xml:space="preserve">Accumulated Insurance Exp. </t>
  </si>
  <si>
    <t>Months Remaining</t>
  </si>
  <si>
    <t>Property Insurance</t>
  </si>
  <si>
    <t>Liability Premium</t>
  </si>
  <si>
    <t>Umbrella Premium</t>
  </si>
  <si>
    <t>Property/All Risk Premium</t>
  </si>
  <si>
    <t>General Liability Premium</t>
  </si>
  <si>
    <t>Environmental Premium</t>
  </si>
  <si>
    <t xml:space="preserve">                                     Site Reports</t>
  </si>
  <si>
    <t>Other Liabilities - Account 21000000</t>
  </si>
  <si>
    <t>Vendor Name</t>
  </si>
  <si>
    <t>Amount Accrued</t>
  </si>
  <si>
    <t>Description of Work - Type of Expense</t>
  </si>
  <si>
    <t>LNR Contribution to Grand Opening Fund</t>
  </si>
  <si>
    <t>Grand Opening Fund</t>
  </si>
  <si>
    <t>Promotional Fund</t>
  </si>
  <si>
    <t>Property/Liability Insurance (see Accr Ins)</t>
  </si>
  <si>
    <t>Tommy V, May Late Fee</t>
  </si>
  <si>
    <t>Souplantation, May Rent</t>
  </si>
  <si>
    <t>Community Utility Billing Services 07/11</t>
  </si>
  <si>
    <t>Community Utility Billing Services 08/11</t>
  </si>
  <si>
    <t>2011 Estimated CAM Rec</t>
  </si>
  <si>
    <t xml:space="preserve">         Site Reports</t>
  </si>
  <si>
    <t>Legal Fees- Account 61600000</t>
  </si>
  <si>
    <t xml:space="preserve">Period ending:  </t>
  </si>
  <si>
    <t>Name of Law Firm</t>
  </si>
  <si>
    <t>Date Paid</t>
  </si>
  <si>
    <t>Professional Fees</t>
  </si>
  <si>
    <t>Out of Pocket
Expenses</t>
  </si>
  <si>
    <t>Allocation
of Total</t>
  </si>
  <si>
    <r>
      <t>Note</t>
    </r>
    <r>
      <rPr>
        <sz val="9"/>
        <rFont val="Arial"/>
        <family val="2"/>
      </rPr>
      <t>:  Total must tie to YTD expense per G/L.</t>
    </r>
  </si>
  <si>
    <t xml:space="preserve">      Home Office Reports</t>
  </si>
  <si>
    <t>List by Tenant</t>
  </si>
  <si>
    <t>Broker/Cost Descr.*</t>
  </si>
  <si>
    <r>
      <t>Note:</t>
    </r>
    <r>
      <rPr>
        <sz val="9"/>
        <rFont val="Arial"/>
        <family val="2"/>
      </rPr>
      <t xml:space="preserve"> This schedule should include not only new monthly expenditures, but also a history of what has been spent to date (a carry forward type schedule).</t>
    </r>
  </si>
  <si>
    <t xml:space="preserve"> Home Office Reports</t>
  </si>
  <si>
    <t>Legal Fees</t>
  </si>
  <si>
    <t>As of:____________</t>
  </si>
  <si>
    <t>Home Office Reports</t>
  </si>
  <si>
    <t>Fixed Asset Identification Form</t>
  </si>
  <si>
    <t>Property Name:</t>
  </si>
  <si>
    <t xml:space="preserve">Property # </t>
  </si>
  <si>
    <t xml:space="preserve">Month:  </t>
  </si>
  <si>
    <t>MRI</t>
  </si>
  <si>
    <t xml:space="preserve">Suite </t>
  </si>
  <si>
    <t>Project Description/include Job Ledger</t>
  </si>
  <si>
    <t>Placed in Service</t>
  </si>
  <si>
    <t xml:space="preserve"> Account #</t>
  </si>
  <si>
    <t>Account Name</t>
  </si>
  <si>
    <t>Number</t>
  </si>
  <si>
    <t>(Tenant Name if applicable)</t>
  </si>
  <si>
    <t>(A)</t>
  </si>
  <si>
    <t xml:space="preserve">(A) TI's=lease start date  All Other=Date project/fixed asset was placed in service (not final invoice payment date). </t>
  </si>
  <si>
    <t xml:space="preserve">                                                                            SKYLINE Implementation for Cornerstone</t>
  </si>
  <si>
    <t xml:space="preserve">  </t>
  </si>
  <si>
    <t xml:space="preserve">  Home Office Reports</t>
  </si>
  <si>
    <t>MRI - PRE-CLOSE AUDIT CHECKLIST</t>
  </si>
  <si>
    <t>For the period ending:</t>
  </si>
  <si>
    <t xml:space="preserve"> Compare the cash balance from the Bank Reconciliation to the General Ledger Cash account (A/C 1020) </t>
  </si>
  <si>
    <t> Compare the Cash Receipts Journal to the Total Cash Receipts per the G/L (A/C 1020)</t>
  </si>
  <si>
    <t xml:space="preserve"> Compare the cash balance from the Bank Reconciliation to the General Ledger Cash account (A/C 1025) </t>
  </si>
  <si>
    <t> Compare the A/P Check Register to the Total Cash Disbursed per the G/L (A/C 1020).</t>
  </si>
  <si>
    <t> Compare the Net Change Column of the CM Ledger to the Net Total of Accounts Receivable and Prepaid Rent (A/C 1080 &amp; 2040).</t>
  </si>
  <si>
    <t> Compare the totals on the Aged Delinquencies Report to the accounts receivable (A/C 1080) balance per the General Ledger</t>
  </si>
  <si>
    <t xml:space="preserve"> Compare over 90 days balance per Aged Delinquencies to Reserve for Doubtful Accounts (A/C 1090) and prepare Journal Entry </t>
  </si>
  <si>
    <t> Compare the balance on the A/P Open Invoice Report to the accounts payable (A/C 2020) balance on the General Ledger.</t>
  </si>
  <si>
    <t xml:space="preserve"> Compare the security deposit balance on the CM Security Deposits Ledger to the Security Deposit G/L account (A/C 2110) </t>
  </si>
  <si>
    <t> Test Real Estate Tax Expense (A/C 6010) for correct number of months expense.</t>
  </si>
  <si>
    <t> Test Accrued Real Estate Taxes (A/C 2070) for correct number of the months expense.</t>
  </si>
  <si>
    <t> Test Insurance Expense (A/C 6060) for correct number of months expense.</t>
  </si>
  <si>
    <t> Test Prepaid Insurance (A/C 1120) for correct number of months expense.</t>
  </si>
  <si>
    <t xml:space="preserve"> Review and update Leasing Cost/Amortization Schedule and adjust G/L as necessary. </t>
  </si>
  <si>
    <t> Review the Construction in Progress Report and reconcile the balance of open jobs to the G/L accounts (A/C 1275 and 1274)</t>
  </si>
  <si>
    <t> Compare Free Rent Schedule to the Free Rent G/L A/C 1410.</t>
  </si>
  <si>
    <t> Review and update the required Statutory Report for  Legal Fees (A/C 6160).</t>
  </si>
  <si>
    <t> Review and update remaining Supporting Schedules and adjust G/L as necessary.</t>
  </si>
  <si>
    <t> Review the preliminary Balance Sheet.  TA = TLE &amp; Current Earnings Agrees with Comparative Income Statement.</t>
  </si>
  <si>
    <t> Review the preliminary Comparative Income Statement, note variances requiring explanation as defined by your asset manager.</t>
  </si>
  <si>
    <t> Review the Cash Flow Report.</t>
  </si>
  <si>
    <t>DO NOT PROCEED WITH THE CLOSE IF THE ABOVE CHECKLIST IS NOT COMPLETE AND RECONCILED.</t>
  </si>
  <si>
    <t>ESCROW- GROUND RENT- 10450</t>
  </si>
  <si>
    <t>Origination Date</t>
  </si>
  <si>
    <t>Escrow Ground Rent</t>
  </si>
  <si>
    <t>09/17 Mortgage Payment</t>
  </si>
  <si>
    <t>Account Total:</t>
  </si>
  <si>
    <t xml:space="preserve">Monthly Financial Analysis </t>
  </si>
  <si>
    <t>Review Comments</t>
  </si>
  <si>
    <t>Property:</t>
  </si>
  <si>
    <t>COCONUT GROVE RETAIL XIII, LLC</t>
  </si>
  <si>
    <t>Month: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</si>
  <si>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</si>
  <si>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</si>
  <si>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</si>
  <si>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</si>
  <si>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</si>
  <si>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</si>
  <si>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</si>
  <si>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</si>
  <si>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</si>
  <si>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PROPERTY TAX  RESERVE- 10410</t>
  </si>
  <si>
    <t>Escrow Property Tax Reserve</t>
  </si>
  <si>
    <t>10/17 Mortgage Payment</t>
  </si>
  <si>
    <t>11/17 Mortgage Payment</t>
  </si>
  <si>
    <t>12/17 Mortgage Payment</t>
  </si>
  <si>
    <t>01/18 Mortgage Payment</t>
  </si>
  <si>
    <t>Tax Payment #75009025000</t>
  </si>
  <si>
    <t>Tax Payment #75009027000</t>
  </si>
  <si>
    <t>Tax Payment #75009028000</t>
  </si>
  <si>
    <t>02/18 Mortgage Payment</t>
  </si>
  <si>
    <t>03/18 Mortgage Payment</t>
  </si>
  <si>
    <t>04/18 Mortgage Payment</t>
  </si>
  <si>
    <t>05/18 Mortgage Payment</t>
  </si>
  <si>
    <t>06/18 Mortgage Payment</t>
  </si>
  <si>
    <t>07/18 Mortgage Payment</t>
  </si>
  <si>
    <t>08/18 Mortgage Payment</t>
  </si>
  <si>
    <t>09/18 Mortgage Payment</t>
  </si>
  <si>
    <t>10/18 Mortgage Payment</t>
  </si>
  <si>
    <t>11/18 Mortgage Payment</t>
  </si>
  <si>
    <t>12/18 Mortgage Payment</t>
  </si>
  <si>
    <t>01/19 Mortgage Payment</t>
  </si>
  <si>
    <t>02/19 Mortgage Payment</t>
  </si>
  <si>
    <t>03/19 Mortgage Payment</t>
  </si>
  <si>
    <t>04/19 Mortgage Payment</t>
  </si>
  <si>
    <t>05/19 Mortgage Payment</t>
  </si>
  <si>
    <t>06/19 Mortgage Payment</t>
  </si>
  <si>
    <t>07/19 Mortgage Payment</t>
  </si>
  <si>
    <t>08/19 Mortgage Payment</t>
  </si>
  <si>
    <t>09/19 Mortgage Payment</t>
  </si>
  <si>
    <t>10/19 Mortgage Payment</t>
  </si>
  <si>
    <t>11/19 Mortgage Payment</t>
  </si>
  <si>
    <t>12/19 Mortgage Payment</t>
  </si>
  <si>
    <t>Transfer Balance from Escrow Insurance</t>
  </si>
  <si>
    <t>01/20 Mortgage Payment</t>
  </si>
  <si>
    <t>02/20 Mortgage Payment</t>
  </si>
  <si>
    <t>03/20 Mortgage Payment</t>
  </si>
  <si>
    <t>04/20 Mortgage Payment</t>
  </si>
  <si>
    <t>05/20 Mortgage Payment</t>
  </si>
  <si>
    <t>06/20 Mortgage Payment</t>
  </si>
  <si>
    <t>07/20 Mortgage Payment</t>
  </si>
  <si>
    <t>08/20 Mortgage Payment</t>
  </si>
  <si>
    <t>09/20 Mortgage Payment</t>
  </si>
  <si>
    <t>10/20 Mortgage Payment</t>
  </si>
  <si>
    <t>11/20 Mortgage Payment</t>
  </si>
  <si>
    <t>12/20 Mortgage Payment</t>
  </si>
  <si>
    <t>1/21 Mortgage Payment</t>
  </si>
  <si>
    <t>2/21 Mortgage Payment</t>
  </si>
  <si>
    <t>3/21 Mortgage Payment</t>
  </si>
  <si>
    <t>04/21 Mortgage Payment</t>
  </si>
  <si>
    <t>05/21 Mortgage Payment</t>
  </si>
  <si>
    <t>06/21 Mortgage Payment</t>
  </si>
  <si>
    <t>07/21 Mortgage Payment</t>
  </si>
  <si>
    <t>08/21 Mortgage Payment</t>
  </si>
  <si>
    <t>09/21 Mortgage Payment</t>
  </si>
  <si>
    <t>10/21 Mortgage Payment</t>
  </si>
  <si>
    <t>11/21 Mortgage Payment</t>
  </si>
  <si>
    <t>12/21 Mortgage Payment</t>
  </si>
  <si>
    <t>01/22 Mortgage Payment</t>
  </si>
  <si>
    <t>02/22 Mortgage Payment</t>
  </si>
  <si>
    <t>03/22 Mortgage Payment</t>
  </si>
  <si>
    <t>04/22 Mortgage Payment</t>
  </si>
  <si>
    <t>05/22 Mortgage Payment</t>
  </si>
  <si>
    <t>06/22 Mortgage Payment</t>
  </si>
  <si>
    <t>Transfer Balance to Escrow Taxes</t>
  </si>
  <si>
    <t>07/22 Mortgage Payment</t>
  </si>
  <si>
    <t>08/22 Mortgage Payment</t>
  </si>
  <si>
    <t>09/22 Mortgage Payment</t>
  </si>
  <si>
    <t>10/22 Mortgage Payment</t>
  </si>
  <si>
    <t>11/22 Mortgage Payment</t>
  </si>
  <si>
    <t>12/22 Mortgage Payment</t>
  </si>
  <si>
    <t>01/23 Mortgage Payment</t>
  </si>
  <si>
    <t>02/23 Mortgage Payment</t>
  </si>
  <si>
    <t>03/23 Mortgage Payment</t>
  </si>
  <si>
    <t>04/23 Mortgage Payment</t>
  </si>
  <si>
    <t>05/23 Mortgage Payment</t>
  </si>
  <si>
    <t>06/23 Mortgage Payment</t>
  </si>
  <si>
    <t>07/23 Mortgage Payment</t>
  </si>
  <si>
    <t>08/23 Mortgage Payment</t>
  </si>
  <si>
    <t>09/23 Mortgage Payment</t>
  </si>
  <si>
    <t>10/23 MORTGAGE PMT</t>
  </si>
  <si>
    <t>11/23 MORTGAGE PMT</t>
  </si>
  <si>
    <t>12/23 MORTGAGE PMT</t>
  </si>
  <si>
    <t>01/24 MORTGAGE PMT</t>
  </si>
  <si>
    <t>02/24 MORTGAGE PMT</t>
  </si>
  <si>
    <t>03/24 MORTGAGE PMT</t>
  </si>
  <si>
    <t>04/24 MORTGAGE PMT</t>
  </si>
  <si>
    <t>05/24 MORTGAGE PMT</t>
  </si>
  <si>
    <t>06/24 MORTGAGE PMT</t>
  </si>
  <si>
    <t>07/24 MORTGAGE PMT</t>
  </si>
  <si>
    <t>24/25 1ST PROP TAX 7500902500</t>
  </si>
  <si>
    <t>p</t>
  </si>
  <si>
    <t>24/25 1ST PROP TAX 7500902700</t>
  </si>
  <si>
    <t>24/25 1ST PROP TAX 7500902800</t>
  </si>
  <si>
    <t xml:space="preserve"> 9/6/2024 </t>
  </si>
  <si>
    <t>CAPITAL DISBURSEMENT</t>
  </si>
  <si>
    <t>LOAN RESERVES - TI/LC  10530</t>
  </si>
  <si>
    <t>Beginning Bal</t>
  </si>
  <si>
    <t>TI</t>
  </si>
  <si>
    <t xml:space="preserve">Escrow-TI/LC Holdback (Loan Reserve) </t>
  </si>
  <si>
    <t>TI/ LC</t>
  </si>
  <si>
    <t>Acct# 10530</t>
  </si>
  <si>
    <t>TI&amp; TI/LC BAL</t>
  </si>
  <si>
    <t>Acct# 10520</t>
  </si>
  <si>
    <t>Acct# 10510</t>
  </si>
  <si>
    <t>Acct# 10420</t>
  </si>
  <si>
    <t>Bank Reserve act bal</t>
  </si>
  <si>
    <r>
      <rPr>
        <b/>
        <sz val="10"/>
        <color indexed="8"/>
        <rFont val="Wingdings"/>
        <charset val="2"/>
      </rPr>
      <t>çç</t>
    </r>
    <r>
      <rPr>
        <b/>
        <sz val="10"/>
        <color indexed="8"/>
        <rFont val="Arial"/>
        <family val="2"/>
      </rPr>
      <t xml:space="preserve"> CASH BOOK BALANCE</t>
    </r>
  </si>
  <si>
    <t>ESCROW GROUND RENT- 10450</t>
  </si>
  <si>
    <t>Marcella Gregory pmt</t>
  </si>
  <si>
    <t>4/21 Mortgage Payment</t>
  </si>
  <si>
    <t>5/21 Mortgage Payment</t>
  </si>
  <si>
    <t>10/23 Mortgage Payment</t>
  </si>
  <si>
    <t>11/23 Mortgage Payment</t>
  </si>
  <si>
    <t>12/23 Mortgage Payment</t>
  </si>
  <si>
    <t>02/24 Mortgage Payment</t>
  </si>
  <si>
    <t>MARCELLA GREGORY PMT</t>
  </si>
  <si>
    <t>03/24 Mortgage Payment</t>
  </si>
  <si>
    <t>ESCROW- INSURANCE ACT- 10460</t>
  </si>
  <si>
    <t xml:space="preserve">Escrow Insurance </t>
  </si>
  <si>
    <t>Annual Premium 12/31/17-12/31/18</t>
  </si>
  <si>
    <t>Add'l Insurance</t>
  </si>
  <si>
    <t>Annual Premium 12/31/18-12/31/19</t>
  </si>
  <si>
    <t>Annual Premium 12/31/19-12/31/20</t>
  </si>
  <si>
    <t>2/11/21</t>
  </si>
  <si>
    <t>Annual Premium 12/31/20-12/31/21</t>
  </si>
  <si>
    <t>Annual Premium 12/31/21-12/31/22</t>
  </si>
  <si>
    <t xml:space="preserve">Transfer Balance to Escrow </t>
  </si>
  <si>
    <t>Annual Premium 12/31/22-12/31/23</t>
  </si>
  <si>
    <t>RCD PROPERTY INSURANCE PD BY ESCROW</t>
  </si>
  <si>
    <t>RCD ADDTL INSURANCE PD BY ESCROW ACCOUN</t>
  </si>
  <si>
    <t>Surplus Reserve</t>
  </si>
  <si>
    <t>ANNUAL INSURANCE PAID BY NMC</t>
  </si>
  <si>
    <t>04/24-04/25 PROP INSURANCE PMT</t>
  </si>
  <si>
    <t>ESCROW- OTHER</t>
  </si>
  <si>
    <t>Escrow Other</t>
  </si>
  <si>
    <t>05/20 Mortgage Payment Refund</t>
  </si>
  <si>
    <t>05/20 Mortgage Interest Payment</t>
  </si>
  <si>
    <t>06/20 Mortgage Interest Payment</t>
  </si>
  <si>
    <t>07/20 Mortgage Payment Shortfall</t>
  </si>
  <si>
    <t>CAPITAL EXP  HOLDBACK-10490</t>
  </si>
  <si>
    <t xml:space="preserve">Escrow Cap Exp Holdback </t>
  </si>
  <si>
    <t>Total reserve &amp; Other/ repair</t>
  </si>
  <si>
    <t>05/19 Capital Disbursement</t>
  </si>
  <si>
    <t>09/19 Capital Disbursement</t>
  </si>
  <si>
    <t>LOAN RECEIVABLE - 12100</t>
  </si>
  <si>
    <t>Comment</t>
  </si>
  <si>
    <t>Prior Yr Adj 12/23</t>
  </si>
  <si>
    <t>Account Total</t>
  </si>
  <si>
    <t>ACCOUNTS RECEIVABLE OTHER- 12020</t>
  </si>
  <si>
    <t xml:space="preserve"> SUSPENSE - 13000</t>
  </si>
  <si>
    <t>Vendor</t>
  </si>
  <si>
    <t>Sotherbys (New Tenant)</t>
  </si>
  <si>
    <t>1st month rent and security deposit</t>
  </si>
  <si>
    <t>Kana Haven (Café Kona)</t>
  </si>
  <si>
    <t>Big Island Electric Inc</t>
  </si>
  <si>
    <t>Tenant is not billed yet</t>
  </si>
  <si>
    <t>Fosters Kitchen</t>
  </si>
  <si>
    <t>TARYN BREEN</t>
  </si>
  <si>
    <t>tenant charged</t>
  </si>
  <si>
    <t>exp paid</t>
  </si>
  <si>
    <t>TOTAL Per Accrual</t>
  </si>
  <si>
    <t>Foster Kitchen</t>
  </si>
  <si>
    <t>Bsc Kona LLC</t>
  </si>
  <si>
    <t>Tenant was billed not paid yet</t>
  </si>
  <si>
    <t>MF Kona, LLC</t>
  </si>
  <si>
    <t xml:space="preserve">Tenant was billed in 07/18, </t>
  </si>
  <si>
    <t>CASH RECIPTS</t>
  </si>
  <si>
    <t>Exp paid</t>
  </si>
  <si>
    <t>TOTAL Per Cash</t>
  </si>
  <si>
    <t>BAD DEBT RESERVE - 12410</t>
  </si>
  <si>
    <t>O/S AR Balance</t>
  </si>
  <si>
    <t>Less Security Deposit</t>
  </si>
  <si>
    <t>Adjusted O/S Balance</t>
  </si>
  <si>
    <t>Current Reserve</t>
  </si>
  <si>
    <t>Ending Bal</t>
  </si>
  <si>
    <t>Bad Debt Exp #70300</t>
  </si>
  <si>
    <t xml:space="preserve">Prior </t>
  </si>
  <si>
    <t>Gecko Girlz</t>
  </si>
  <si>
    <t>($5,539.52) reserved in 2020</t>
  </si>
  <si>
    <t>New Bal</t>
  </si>
  <si>
    <t>Bongo Bens</t>
  </si>
  <si>
    <t>Adj</t>
  </si>
  <si>
    <t>Humpy's Big Island Alehouse</t>
  </si>
  <si>
    <t>($164,023.48) reserved in 2020</t>
  </si>
  <si>
    <t>add: 3mths</t>
  </si>
  <si>
    <t>Big Island Running</t>
  </si>
  <si>
    <t>balance</t>
  </si>
  <si>
    <t>Colors of Paradise Gallery</t>
  </si>
  <si>
    <t>($9,910.10) reserved in 2020</t>
  </si>
  <si>
    <t>Island Lava Java</t>
  </si>
  <si>
    <t>($83,766.22) reserved in 2020</t>
  </si>
  <si>
    <t>Lavernes</t>
  </si>
  <si>
    <t>($49,193.79) reserved in 2020</t>
  </si>
  <si>
    <t>Kona Gear</t>
  </si>
  <si>
    <t>($18,769.72) reserved in 2020</t>
  </si>
  <si>
    <t>Jacks Dive Locker</t>
  </si>
  <si>
    <t>($24,425.06) reserved in 2020</t>
  </si>
  <si>
    <t>ABC Store</t>
  </si>
  <si>
    <t>($49,468.93) reserved in 2020</t>
  </si>
  <si>
    <t>Oceans Sports Bar and Grill</t>
  </si>
  <si>
    <t>($39,309.92) reserved in 2020</t>
  </si>
  <si>
    <t>Café Kona</t>
  </si>
  <si>
    <t>($18,708.57) reserved in 2020</t>
  </si>
  <si>
    <t>INTEREST RATE CAP- 12500</t>
  </si>
  <si>
    <t>Interest Rate Cap Cost</t>
  </si>
  <si>
    <t>Lucasie Ltd</t>
  </si>
  <si>
    <t>Taka Sushi</t>
  </si>
  <si>
    <t xml:space="preserve">(8,825.41) 2022, 2023 Rent Abatement-8,825.41 </t>
  </si>
  <si>
    <t>($9,910.10) reserved in 2020, (24502.96) 2022 , ADJ in 07.23 $24,502.96 &amp; $12,237.40</t>
  </si>
  <si>
    <t>Kanaka Kava</t>
  </si>
  <si>
    <t>($18,708.57) reserved in 2021</t>
  </si>
  <si>
    <t>($18,708.57) reserved in 2022</t>
  </si>
  <si>
    <t>($18,708.57) reserved in 2023</t>
  </si>
  <si>
    <t>($18,708.57) reserved in 2024</t>
  </si>
  <si>
    <t>($18,708.57) reserved in 2025</t>
  </si>
  <si>
    <t>($18,708.57) reserved in 2026</t>
  </si>
  <si>
    <t>Outback Steakhouse</t>
  </si>
  <si>
    <t>IF BALANCE IS 0 DELETE HISTORY</t>
  </si>
  <si>
    <t>NOTE:</t>
  </si>
  <si>
    <t>Per CM ledger</t>
  </si>
  <si>
    <t>Invoices paid but not billed to Tenants</t>
  </si>
  <si>
    <t>Difference</t>
  </si>
  <si>
    <t>FIXED ASSETS SCHEDULE</t>
  </si>
  <si>
    <t>Account Number</t>
  </si>
  <si>
    <t>Lease Term</t>
  </si>
  <si>
    <t>Land Costs</t>
  </si>
  <si>
    <t>14000-000000</t>
  </si>
  <si>
    <t>Adjust 2017 Recording of Property Purchase - CPA AJE</t>
  </si>
  <si>
    <t>TB</t>
  </si>
  <si>
    <t>Building</t>
  </si>
  <si>
    <t>15000-000000</t>
  </si>
  <si>
    <t>Building Improvement</t>
  </si>
  <si>
    <t>Elevator Upgrades - Otis Elevator Company (Owners paid)</t>
  </si>
  <si>
    <t>Replace Parking Lot Light 50% Dep - Big Island Electric</t>
  </si>
  <si>
    <t>Replace Parking Lot Light 50% Final Pmt - Big Island Electric</t>
  </si>
  <si>
    <t>New Elevator Cab - Otis Elevator Company</t>
  </si>
  <si>
    <t>Pre-construction Research - Tinguely Development (Inv #18-320-01)</t>
  </si>
  <si>
    <t>2018 CPA AJE #3 - To expense Minor Capitalized Items</t>
  </si>
  <si>
    <t>2018 CPA AJE #4 - To Reclass CIP</t>
  </si>
  <si>
    <t>Exterior Paint - Kawika's Painting (Inv #38-11-25)</t>
  </si>
  <si>
    <t>Exterior Paint - Kawika's Painting (Inv #38-12-13)</t>
  </si>
  <si>
    <t>Pre-construction Research - Tinguely Development (Inv #18-405-01)</t>
  </si>
  <si>
    <t>Security Camera Equipment 50% Dep. - Elite Interactive Solutions (Inv. 165-010819)</t>
  </si>
  <si>
    <t>Fire Monitor System - 50% Dep. - Pacific Rim Fire Protection</t>
  </si>
  <si>
    <t>Pre-construction Research - Tinguely Development</t>
  </si>
  <si>
    <t>Development Permit/ Constr. V-Ball Design - Tinguely Development (Inv #18-405-03 R1)</t>
  </si>
  <si>
    <t>Development Permit/ Constr. V-Ball Design - Tinguely Development (Inv #18-405-02 R3)</t>
  </si>
  <si>
    <t>Exterior Paint and Sprinkler Piping - Kawika's Painting (Inv. #39-02-09)</t>
  </si>
  <si>
    <t>Construction Management Fee - Athena Management</t>
  </si>
  <si>
    <t>Elevator Upgrades - Otis Elevator Company</t>
  </si>
  <si>
    <t>Elevator Room Door - Athena Management</t>
  </si>
  <si>
    <t>Fire Monitor System - Final payment - Pacific Rim Fire Protection</t>
  </si>
  <si>
    <t>Electrical Engineer Panel Upgrade - Tinguely Development (Inv #18-405-04)</t>
  </si>
  <si>
    <t>Security Camera Equipment 50% Dep - Elite Interactive Solutions (Inv. #165-040319)</t>
  </si>
  <si>
    <t>Exterior Paint, Carpentry Repair and Sprinkler Piping - Kawika's Painting (Inv. #39-03-27)</t>
  </si>
  <si>
    <t>Design Sign Retainer - AD/S</t>
  </si>
  <si>
    <t>V-Ball Court Design - Tinguely Development (Inv. #18-405-05)</t>
  </si>
  <si>
    <t>Exterior Paint and Sprinkler Piping - Kawika's Painting (Inv. #39-04-10)</t>
  </si>
  <si>
    <t>Security Camera System Final Pmt - Elite Interactive Solutions (Inv. #306243)</t>
  </si>
  <si>
    <t>Exterior Paint, Carpentry Repair and Sprinkler Piping - Kawika's Painting (Inv. #39-04-11R)</t>
  </si>
  <si>
    <t>Ext. Painting, Carpentry Repair, Railing Gate, Compactor Shed - Kawika's Painting (Inv. #39-05-17)</t>
  </si>
  <si>
    <t>Security Camera Equipment Final Payment - Elite Interactive Solutions (Inv. #306754)</t>
  </si>
  <si>
    <t>Security Camera Equipment 15% Final  - Elite Interactive Solutions (Inv. #306489)</t>
  </si>
  <si>
    <t>V-Ball Court Design - Tinguely Development (Inv. #18-405-06)</t>
  </si>
  <si>
    <t>Install Fire Door - Brunner Construction Services (Inv. #1078)</t>
  </si>
  <si>
    <t>Install Lantern Light - Big Island Electric (Inv. #19073)</t>
  </si>
  <si>
    <t>Bongo Bens Restroom Remodel - Tinguely Development (Inv. #18-455-01)</t>
  </si>
  <si>
    <t>Courtyard Renovation/ Dust Fence - Tinguely Development (Inv. #000003)</t>
  </si>
  <si>
    <t>Umbrella/ Chairs/ Tables - Innovative Designs &amp; Mfg (Inv. #10697)</t>
  </si>
  <si>
    <t>V-Ball Court Design/ Restroom Remodel - Tinguely Development (Inv. #000002)</t>
  </si>
  <si>
    <t>Design Sign Phase 1 Completed - AD/S (Inv. #78470)</t>
  </si>
  <si>
    <t>Lawn Games Upgrades - Athena Management (Inv. #165-090919)</t>
  </si>
  <si>
    <t>Replace Roll Down Door - Our Star Jac (Inv. #5771)</t>
  </si>
  <si>
    <t>Install V-Ball Irrigation - Hawaii Island Lawns (Inv. #1472)</t>
  </si>
  <si>
    <t>Construction Management Fee - Athena Management (Inv. #165-100219)</t>
  </si>
  <si>
    <t>Bongo Bens WasteWater - Lipps &amp; Son (Inv. #796-1)</t>
  </si>
  <si>
    <t>Walkway Repairs 50% Deposit - Gregory R Knapp (Inv. #C-13451)</t>
  </si>
  <si>
    <t>Courtyard Renovation/ Dust Fence - Tinguely Development (Inv. #000004)</t>
  </si>
  <si>
    <t>Additional Security Camera 50% Deposit - Elite Interactive Solutions (Inv. #165-111219)</t>
  </si>
  <si>
    <t>Bongo Bens Drain Pipe - Calvin Plumbing (Inv. #19-1905)</t>
  </si>
  <si>
    <t>Courtyard Renovation/ Stairs - Tinguely Development (Inv. #000005)</t>
  </si>
  <si>
    <t>Additional Security Camera 50% Deposit - Elite Interactive Solutions (Inv. #308041)</t>
  </si>
  <si>
    <t>Lavernes Stairs Sprinkler System Install - Calvins Plumbing (Inv. #19-2005)</t>
  </si>
  <si>
    <t>Courtyard Renovation/ Stairs - Tinguely Development (Inv. #000006)</t>
  </si>
  <si>
    <t>Courtyard Renovation/ Stairs - Tinguely Development (Inv. #000007)</t>
  </si>
  <si>
    <t>Bongo Bens Roll Down Door Replacement - Our Star Jac (Inv. #6034)</t>
  </si>
  <si>
    <t>Additional Security Camera Parts Credit - Elite Interactive Solutions (Inv. #308161)</t>
  </si>
  <si>
    <t>Bongo Bens Rool Down Door Outlets - Big Island Electric (Inv. #19830)</t>
  </si>
  <si>
    <t>Walkway Repairs 50% Final - Gregory R Knapp (Inv. #C-13451-2ND)</t>
  </si>
  <si>
    <t>Electrical Load Center Upgrade - Big Island Electric Inc. (Inv. #20156)</t>
  </si>
  <si>
    <t>Fire Sprinkler Design - Calvins Plumbing (Inv. #20-2370.1)</t>
  </si>
  <si>
    <t>Electrical Load Center Upgrade - Big Island Electric Inc. (Inv. #20399)</t>
  </si>
  <si>
    <t>Canopy Design - Tinguely Development (Inv. #000008)</t>
  </si>
  <si>
    <t>Install new lennox AC</t>
  </si>
  <si>
    <t>Instal Lennox AC</t>
  </si>
  <si>
    <t>PC1-2 renovation -Tinguely Development, Inc</t>
  </si>
  <si>
    <t>PC1-2 Security -Viking Services of Hawaii</t>
  </si>
  <si>
    <t xml:space="preserve">LOC/DOC Wasteline- Reno  Calvins Plumbing Inc. </t>
  </si>
  <si>
    <t>New Concete deck- Meads Masonry</t>
  </si>
  <si>
    <t>2nd HF New Concrete Deck - Meads Masonry</t>
  </si>
  <si>
    <t>Replace wood walk with Concrete</t>
  </si>
  <si>
    <t>Marketing Design- Tinguely Development Inc</t>
  </si>
  <si>
    <t>Foster Design drawing- Tinguely Development Inc</t>
  </si>
  <si>
    <t>Humpys Design drawing- Tinguely Development Inc</t>
  </si>
  <si>
    <t>Oceans flood design - Tinguely Development Inc</t>
  </si>
  <si>
    <t>Humpy Concept drawing- Tinguely Development Inc</t>
  </si>
  <si>
    <t>Ocean's New Patio - Tinguely Development Inc</t>
  </si>
  <si>
    <t>Laverne'S New Roof DES - Tinguely Development Inc</t>
  </si>
  <si>
    <t>Ocean's New - Drain M Tinguely Development Inc</t>
  </si>
  <si>
    <t>Fosters Awning- Tinguely Development Inc</t>
  </si>
  <si>
    <t>Humpys Awning- Tinguely Development Inc</t>
  </si>
  <si>
    <t>5447 8/22/2024 Fosters Stair-Deposit  Tinguely Development Inc</t>
  </si>
  <si>
    <t>5473 9/11/2024 Patio &amp; Drain Ocean</t>
  </si>
  <si>
    <t>5472 9/11/2024 Patio &amp; Drain Ocean</t>
  </si>
  <si>
    <t>5474 9/11/2024 Patio &amp; Drain Ocean</t>
  </si>
  <si>
    <t>5532 11/12/2024 FOSTER'S KITCHEN</t>
  </si>
  <si>
    <t>5533 11/12/2024 HUMPY'S RENOVATION</t>
  </si>
  <si>
    <t>5549 11/25/2024 FOSTERS STAIRS</t>
  </si>
  <si>
    <t>5578 12/18/2024 FOSTERS RETENTION</t>
  </si>
  <si>
    <t>15010-000000</t>
  </si>
  <si>
    <t>5586 12/26/2024 ELEVATOR DEPOSIT</t>
  </si>
  <si>
    <t>SHH15514001R    ELEVATOR MOD PROJECT</t>
  </si>
  <si>
    <t>Tenant Improvement</t>
  </si>
  <si>
    <t>Gecko Girlz - TI Reimb</t>
  </si>
  <si>
    <t>06/19/2025-06/18/2030</t>
  </si>
  <si>
    <t>01/01/2023-12/31/2027</t>
  </si>
  <si>
    <t>5471 9/11/2024 HUMPY'S RENO</t>
  </si>
  <si>
    <t>09/01/2022-08/31/2032</t>
  </si>
  <si>
    <t>5470 9/11/2024 HUMPY'S RENOVATION</t>
  </si>
  <si>
    <t>5469 9/11/2024 HUMPY'S RENOVATION</t>
  </si>
  <si>
    <t>5468 9/11/2024 HUMPY'S RENO APP1</t>
  </si>
  <si>
    <t>15100-000000</t>
  </si>
  <si>
    <t>5516 10/24/2024 HUMPY'S TI REIMB</t>
  </si>
  <si>
    <r>
      <t xml:space="preserve">Other Capital Items - </t>
    </r>
    <r>
      <rPr>
        <i/>
        <sz val="10"/>
        <color indexed="8"/>
        <rFont val="Arial"/>
        <family val="2"/>
      </rPr>
      <t>Seal Coating/Patch</t>
    </r>
  </si>
  <si>
    <t>Loeffler Construction, Inc.Owners paid</t>
  </si>
  <si>
    <t>Replace doors</t>
  </si>
  <si>
    <t>Wall Plan Design - Gene T Power and Assoc.</t>
  </si>
  <si>
    <t>1st Landscape Design - Gene T Power and Assoc.</t>
  </si>
  <si>
    <t>Walkway Repair Phase 1</t>
  </si>
  <si>
    <t>Walkway Repair Phase 2</t>
  </si>
  <si>
    <t>Prior Yr Adj 12/22</t>
  </si>
  <si>
    <t>Construction In Progress</t>
  </si>
  <si>
    <t>15500-000000</t>
  </si>
  <si>
    <t>Pre-construction Research - Tinguely Development (Inv #18-320-01) - 2018 CPA AJE #3</t>
  </si>
  <si>
    <t>Leasing Commission</t>
  </si>
  <si>
    <t>Big Island Running (11/01/19-10/31/24) - Athena Management Inc</t>
  </si>
  <si>
    <t>11/01/2024-10/31/2029</t>
  </si>
  <si>
    <t>Gecko Girlz (6/19/20-6/18/25) - SVN Go Commercial</t>
  </si>
  <si>
    <t>Venture Sotheby's (8/5/20-2/28/26)- SVN Go Commercial</t>
  </si>
  <si>
    <t>Taka Sushi (12/1/21-11/30/26) - SVN Go Commercial</t>
  </si>
  <si>
    <t>Kanaka Kava (4/1/21-3/31/24) - Athena Management, Inc.</t>
  </si>
  <si>
    <t>04/01/2024-03/31/2029</t>
  </si>
  <si>
    <t>Fosters Kitchen - Athena Management, Inc.</t>
  </si>
  <si>
    <t>07/01/2021-06/30/2031</t>
  </si>
  <si>
    <t>Kanaka Kava (4/1/21-3/31/24) - SVN Go Commercial</t>
  </si>
  <si>
    <t>Humpy Big Island Alehouse (07/01/22-04/30/23) - Athena Management, Inc.</t>
  </si>
  <si>
    <t>Café Kona (09/01/21-08/31/26) - Athena Management,Inc</t>
  </si>
  <si>
    <t>09/01/2021-08/31/2026</t>
  </si>
  <si>
    <t>Gypsea Gelato (06/01/22-06/31/27) - Athena Management, Inc.</t>
  </si>
  <si>
    <t>06/1/2022- 05/31/2027</t>
  </si>
  <si>
    <t>Taka Sushi (12/1/21-11/30/26)2ND 1/2 - SVN Go Commercial</t>
  </si>
  <si>
    <t>humpy Big Island Alehouse (09/01/22-08/31/32) - Athena Management, Inc.</t>
  </si>
  <si>
    <t>Lavernes Kohola (09/01/22-0831/32) - Athena Management, Inc.</t>
  </si>
  <si>
    <t>Lucaise LC (08/01/23 - 02/29/28) Athena Management, Inc.</t>
  </si>
  <si>
    <t>08/01/2023-02/29/2028</t>
  </si>
  <si>
    <t>5261 3/7/2024 Kanaka Kava - Athena Management, Inc.</t>
  </si>
  <si>
    <t>5261 3/7/2024 KONA GEAR LC-- Athena Management, Inc.</t>
  </si>
  <si>
    <t>04/01/2024-03/31/2026</t>
  </si>
  <si>
    <t>5334 5/23/2024 BIG ISLAND RUNNING</t>
  </si>
  <si>
    <t>165-24GECKO     GECKO GIRLZ RENEWAL-ATHENA MANAGEMENT INC</t>
  </si>
  <si>
    <t>16500-000000</t>
  </si>
  <si>
    <t>REFINANCE COSTS</t>
  </si>
  <si>
    <t>Good Faith Deposit - Refinance</t>
  </si>
  <si>
    <t>LOAN FEES</t>
  </si>
  <si>
    <t>OTHER LOAN COSTS</t>
  </si>
  <si>
    <t>LEGAL FEES</t>
  </si>
  <si>
    <t>16700-000000</t>
  </si>
  <si>
    <t>Loan Fees</t>
  </si>
  <si>
    <t>RCLS LOAN FEES TO 70270 DUE TO REFI</t>
  </si>
  <si>
    <t>MISC DEPOSIT-13100</t>
  </si>
  <si>
    <t>13100-000000</t>
  </si>
  <si>
    <t>Dept of Water Supply</t>
  </si>
  <si>
    <t>Hawaii Electric Light Co, Inc</t>
  </si>
  <si>
    <t>Acct# 201014742377</t>
  </si>
  <si>
    <t>SD Applied</t>
  </si>
  <si>
    <t>Acct# 201014743508</t>
  </si>
  <si>
    <t>Acct# 201014744019</t>
  </si>
  <si>
    <t>Acct# 201014744704</t>
  </si>
  <si>
    <t>Acct# 201014744977</t>
  </si>
  <si>
    <t>Acct# 201014745941</t>
  </si>
  <si>
    <t>Acct# 201014746048</t>
  </si>
  <si>
    <t>S/B zero</t>
  </si>
  <si>
    <t>CIP- 15500</t>
  </si>
  <si>
    <t xml:space="preserve"> Date</t>
  </si>
  <si>
    <t>SUSPENSE-13000</t>
  </si>
  <si>
    <t>FOR THE ONE MONTH ENDED 01/31/17</t>
  </si>
  <si>
    <t xml:space="preserve">Account Total per Cash </t>
  </si>
  <si>
    <t>PREPAID EXPENSE-13130</t>
  </si>
  <si>
    <t>LOAN COSTS-17650</t>
  </si>
  <si>
    <t>MORGAN STANLEY</t>
  </si>
  <si>
    <t>RCD WIRE LOAN REFI</t>
  </si>
  <si>
    <t>LOAN APPLICATION DEP</t>
  </si>
  <si>
    <t>LOAN DEPOSIT - 12530</t>
  </si>
  <si>
    <t>Northmarq Capital</t>
  </si>
  <si>
    <t>NORTHMARQ CAPITAL LOAN DEPOSIT</t>
  </si>
  <si>
    <t>RCLS NMC LOAN DEPOSIT</t>
  </si>
  <si>
    <t xml:space="preserve">Water </t>
  </si>
  <si>
    <t xml:space="preserve">Meter# </t>
  </si>
  <si>
    <t>Acct#</t>
  </si>
  <si>
    <t xml:space="preserve">GL </t>
  </si>
  <si>
    <t>Water/CAM</t>
  </si>
  <si>
    <t>0008036548</t>
  </si>
  <si>
    <t>097-55008735-13</t>
  </si>
  <si>
    <t>Fire Hydrent</t>
  </si>
  <si>
    <t>097-55008745-12</t>
  </si>
  <si>
    <t xml:space="preserve">old acct# </t>
  </si>
  <si>
    <t>0008041574</t>
  </si>
  <si>
    <t>097-55008745-13</t>
  </si>
  <si>
    <t>097-55008735-12</t>
  </si>
  <si>
    <t>854-62750034</t>
  </si>
  <si>
    <t>Water/Sewer</t>
  </si>
  <si>
    <t>854-62760034</t>
  </si>
  <si>
    <t>854-62790034</t>
  </si>
  <si>
    <t>Electric</t>
  </si>
  <si>
    <t>mhx000141323</t>
  </si>
  <si>
    <t>202011253806</t>
  </si>
  <si>
    <t>mhx000090356</t>
  </si>
  <si>
    <t>202010554280</t>
  </si>
  <si>
    <t>mhx000137834</t>
  </si>
  <si>
    <t>202014338760</t>
  </si>
  <si>
    <t>mhx000139327</t>
  </si>
  <si>
    <t>202014338802</t>
  </si>
  <si>
    <t>mhx000134811</t>
  </si>
  <si>
    <t>202011120534</t>
  </si>
  <si>
    <t>mhx000137526</t>
  </si>
  <si>
    <t>202011287648</t>
  </si>
  <si>
    <t>mhx000132532</t>
  </si>
  <si>
    <t>202011019009</t>
  </si>
  <si>
    <t>NEW ACCT'S</t>
  </si>
  <si>
    <t>201014742377</t>
  </si>
  <si>
    <t>x</t>
  </si>
  <si>
    <t>201014744019</t>
  </si>
  <si>
    <t>201014744704</t>
  </si>
  <si>
    <t>201014744977</t>
  </si>
  <si>
    <t>201014745941</t>
  </si>
  <si>
    <t>201014746048</t>
  </si>
  <si>
    <t>201014743508</t>
  </si>
  <si>
    <t>NOTES PAYABLE-MORGAN STANL - 25420</t>
  </si>
  <si>
    <t>25420-000000</t>
  </si>
  <si>
    <t>Beginning Balance</t>
  </si>
  <si>
    <t>NEW LOAN MORGAN STANLEY</t>
  </si>
  <si>
    <t>Northmarq Bank</t>
  </si>
  <si>
    <t>ACCOUNTS PAYABLE - 20100</t>
  </si>
  <si>
    <t>EXPENSE ACCRUALS - 20650</t>
  </si>
  <si>
    <t>ACCRUE 09/24 LANDSCAPE MAINT</t>
  </si>
  <si>
    <t>New Aded</t>
  </si>
  <si>
    <t xml:space="preserve"> ACCRUE 08/24 JANITORIAL</t>
  </si>
  <si>
    <t>Hawaii Island Lawns</t>
  </si>
  <si>
    <t>ACCRUE LANDSCAPE CONSUMABLES</t>
  </si>
  <si>
    <t>Hawaiian Telecom</t>
  </si>
  <si>
    <t>02/25-05/25 Elevator Phone Lines</t>
  </si>
  <si>
    <t>Smart Pest Prevention</t>
  </si>
  <si>
    <t>Per Jan stop accruing</t>
  </si>
  <si>
    <t>Rim Fire Protection</t>
  </si>
  <si>
    <t>ACCRUE MONITOR FIRE SPRINKLERS</t>
  </si>
  <si>
    <t>ASK</t>
  </si>
  <si>
    <t>National Fire Proctection</t>
  </si>
  <si>
    <t>2 Fire Extinguishers</t>
  </si>
  <si>
    <t>04/23 WIFI</t>
  </si>
  <si>
    <t>Elite Interactive Solutions</t>
  </si>
  <si>
    <t>Tropical Marine Environments</t>
  </si>
  <si>
    <t>ACCRUE 3Q24 STORM WATER</t>
  </si>
  <si>
    <t>ACCRUE BACKFLOW-MAINTENANCE</t>
  </si>
  <si>
    <t>ACCRUE 04/25 SECURITY</t>
  </si>
  <si>
    <t>Last Paid Amt</t>
  </si>
  <si>
    <t>Start date</t>
  </si>
  <si>
    <t>End Date</t>
  </si>
  <si>
    <t>Accrual end date</t>
  </si>
  <si>
    <t>Days</t>
  </si>
  <si>
    <t>Per day Amt</t>
  </si>
  <si>
    <t>Accrual days</t>
  </si>
  <si>
    <t>To be Accrued</t>
  </si>
  <si>
    <t>Hawaii Electric Light Co.</t>
  </si>
  <si>
    <t>8 accts</t>
  </si>
  <si>
    <t>Pacific Waste Inc</t>
  </si>
  <si>
    <t>based on actual</t>
  </si>
  <si>
    <t>every other month</t>
  </si>
  <si>
    <t>2 accts</t>
  </si>
  <si>
    <t>water/cam &amp; water/fire are the same acct</t>
  </si>
  <si>
    <t>Hawaii Gas</t>
  </si>
  <si>
    <t>1 acct</t>
  </si>
  <si>
    <t>Land and Natural Resources</t>
  </si>
  <si>
    <t>Semi-Annual Ground Rent</t>
  </si>
  <si>
    <t>COUNTY DIRECTOR OF FINANCE</t>
  </si>
  <si>
    <t>85462760034, 85462780033, 85463600, 85462789</t>
  </si>
  <si>
    <t>1acct</t>
  </si>
  <si>
    <t>Viking svc of hawaii</t>
  </si>
  <si>
    <t>ACCRUE 02/25 SECURITY</t>
  </si>
  <si>
    <t>ACCRUE 07/24 SECURITY</t>
  </si>
  <si>
    <t>Calvin's Plumbing</t>
  </si>
  <si>
    <t>Water Line Repairs</t>
  </si>
  <si>
    <t>Hawaii Tours Inc</t>
  </si>
  <si>
    <t>01/01-01/15 Shuttle Svc</t>
  </si>
  <si>
    <t>No shuttle svc for 04/20-09/20</t>
  </si>
  <si>
    <t>Edward Repair Handyman Services</t>
  </si>
  <si>
    <t>Online Map Directory</t>
  </si>
  <si>
    <t>Placewise Digital</t>
  </si>
  <si>
    <t>Data Insight Report</t>
  </si>
  <si>
    <t>City of Hawaii</t>
  </si>
  <si>
    <t xml:space="preserve">*** Run Standard income Statement for month. (Cash) </t>
  </si>
  <si>
    <t>total rental income X 0.045</t>
  </si>
  <si>
    <t>Sample ------&gt;</t>
  </si>
  <si>
    <t>AP - AFFILIATES - 25500</t>
  </si>
  <si>
    <t>25500-000000</t>
  </si>
  <si>
    <t>LEASE COMMISSION PAYABLE 20620</t>
  </si>
  <si>
    <t>TENANT CREDITS FROM SELLER- 26300</t>
  </si>
  <si>
    <t>Total  Amount</t>
  </si>
  <si>
    <t>ACCOUNTS PAYABLE OTHER- 20110</t>
  </si>
  <si>
    <t>Loan from San Carlos</t>
  </si>
  <si>
    <t>Payback San Carlos Loan</t>
  </si>
  <si>
    <t>NOTE PAYABLE - 25300</t>
  </si>
  <si>
    <t>6/21 Mortgage Payment</t>
  </si>
  <si>
    <t>7/21 Mortgage Payment</t>
  </si>
  <si>
    <t>8/21 Mortgage Payment</t>
  </si>
  <si>
    <t>9/21 Mortgage Payment</t>
  </si>
  <si>
    <t>01/58/22</t>
  </si>
  <si>
    <t>ADJ 12/22 Mortgage Payment</t>
  </si>
  <si>
    <t>01/24 Mortgage Payment</t>
  </si>
  <si>
    <t>TO PAY OFF THE NOTE BALANCE</t>
  </si>
  <si>
    <t>CAPITAL SCHEDULE</t>
  </si>
  <si>
    <t>INTERST ACCRUALS - 20660</t>
  </si>
  <si>
    <t>20660-000000</t>
  </si>
  <si>
    <t>Morgan Stanley</t>
  </si>
  <si>
    <t>OWNER'S DISTRIBUTION - 35000</t>
  </si>
  <si>
    <t>35000-000000</t>
  </si>
  <si>
    <t xml:space="preserve"> Amount</t>
  </si>
  <si>
    <t>10/17 Owners Distribution</t>
  </si>
  <si>
    <t>11/17 Owners Distribution</t>
  </si>
  <si>
    <t>12/17 Owners Distribution</t>
  </si>
  <si>
    <t>01/18 Owners Distribution</t>
  </si>
  <si>
    <t>02/18 Owners Distribution</t>
  </si>
  <si>
    <t>03/18 Owners Distribution</t>
  </si>
  <si>
    <t>04/18 Owners Distribution</t>
  </si>
  <si>
    <t>05/18 Owners Distribution</t>
  </si>
  <si>
    <t>06/18 Owners Distribution</t>
  </si>
  <si>
    <t>07/18 Owners Distribution</t>
  </si>
  <si>
    <t>08/18 Owners Distribution</t>
  </si>
  <si>
    <t>09/18 Owners Distribution</t>
  </si>
  <si>
    <t>10/18 Owners Distribution</t>
  </si>
  <si>
    <t>11/18 Owners Distribution</t>
  </si>
  <si>
    <t>12/18 Owners Distribution</t>
  </si>
  <si>
    <t>2018 CPA AJE #2 - To Close out PY Distr. &amp; Contr.</t>
  </si>
  <si>
    <t>01/19 Owners Distribution</t>
  </si>
  <si>
    <t>02/19 Owners Distribution</t>
  </si>
  <si>
    <t>03/19 Owners Distribution</t>
  </si>
  <si>
    <t>04/19 Owners Distribution</t>
  </si>
  <si>
    <t>05/19 Owners Distribution</t>
  </si>
  <si>
    <t>06/19 Owners Distribution</t>
  </si>
  <si>
    <t>07/19 Owners Distribution</t>
  </si>
  <si>
    <t>09/19 Owners Distribution</t>
  </si>
  <si>
    <t>10/19 Owners Distribution</t>
  </si>
  <si>
    <t>11/19 Owners Distribution</t>
  </si>
  <si>
    <t>12/19 Owners Distribution</t>
  </si>
  <si>
    <t>2019 CPA AJE #1 - To Close out PY Distr. &amp; Contr.</t>
  </si>
  <si>
    <t>01/20 Owners Distribution</t>
  </si>
  <si>
    <t>02/20 Owners Distribution</t>
  </si>
  <si>
    <t>03/20 Owners Distribution</t>
  </si>
  <si>
    <t>2020 CPA AJE #1 - To Close out PY Distr. &amp; Contr.</t>
  </si>
  <si>
    <t>09/21 Owners Distribution</t>
  </si>
  <si>
    <t>11/21 Owners Distribution</t>
  </si>
  <si>
    <t>TO CLOSE OUT PY DISTRIBUTIONS</t>
  </si>
  <si>
    <t xml:space="preserve">Open Year (Prior Yr Adj 01/21) </t>
  </si>
  <si>
    <t>01/22 Owners Distribution</t>
  </si>
  <si>
    <t>02/22 Owners Distribution</t>
  </si>
  <si>
    <t>03/22 Owners Distribution</t>
  </si>
  <si>
    <t>04/22 Owners Distribution</t>
  </si>
  <si>
    <t>06/22 Owners Distribution</t>
  </si>
  <si>
    <t>07/22 Owners Distribution</t>
  </si>
  <si>
    <t>08/22 Owners Distribution</t>
  </si>
  <si>
    <t>09/22 Owners Distribution</t>
  </si>
  <si>
    <t>10/22 Owners Distribution</t>
  </si>
  <si>
    <t>11/22 Owners Distribution</t>
  </si>
  <si>
    <t>12/22 Owners Distribution</t>
  </si>
  <si>
    <t>01/23 Owners Distribution</t>
  </si>
  <si>
    <t>02/23 Owners Distribution</t>
  </si>
  <si>
    <t>03/23 Owners Distribution</t>
  </si>
  <si>
    <t>04/23 Owners Distribution</t>
  </si>
  <si>
    <t>05/23 Owners Distribution</t>
  </si>
  <si>
    <t>06/23 Owners Distribution</t>
  </si>
  <si>
    <t>07/23 Owners Distribution</t>
  </si>
  <si>
    <t>09/23 Owners Distribution</t>
  </si>
  <si>
    <t>10/23 Owners Distribution</t>
  </si>
  <si>
    <t>11/23 Owners Distribution</t>
  </si>
  <si>
    <t>OWNER DISTRIBUTION</t>
  </si>
  <si>
    <t>OWNER'S CONTRIBUTION - 36000</t>
  </si>
  <si>
    <t>36000-000000</t>
  </si>
  <si>
    <t>Owners Contribution - Capex</t>
  </si>
  <si>
    <t>Owners paid for Common Area Improvement</t>
  </si>
  <si>
    <t>OWNER CONTRIBUTION</t>
  </si>
  <si>
    <t>CAPEX FUNDING</t>
  </si>
  <si>
    <t>PREPAID INS- 13110 / ACCRUED INSURANCE- 20500</t>
  </si>
  <si>
    <t xml:space="preserve">Period </t>
  </si>
  <si>
    <t>Property Insurance                    Paid                       50111</t>
  </si>
  <si>
    <t>Liability Insurance               Paid                                  50112</t>
  </si>
  <si>
    <t>Umbrella Insurance          Paid                           50130</t>
  </si>
  <si>
    <t>Total Insurance                 Paid</t>
  </si>
  <si>
    <t>Accrued Insurance                                         20500</t>
  </si>
  <si>
    <t>Prepaid Insurance                                           13110</t>
  </si>
  <si>
    <t>YTD Balance 50111</t>
  </si>
  <si>
    <t>YTD Balance 50112</t>
  </si>
  <si>
    <t>Accumulated R.E. Tax Expense</t>
  </si>
  <si>
    <t>Effective Feb 24, 2015 to Dec 31, 2015</t>
  </si>
  <si>
    <t>2014-2015 Property Premium</t>
  </si>
  <si>
    <t>2014-2015 Liability Premium</t>
  </si>
  <si>
    <t>2014-2015 Umbrella Premium</t>
  </si>
  <si>
    <t xml:space="preserve">INSURANCE SCHEDULE </t>
  </si>
  <si>
    <t>Policy Period</t>
  </si>
  <si>
    <t>Annual Premium</t>
  </si>
  <si>
    <t>Monthly</t>
  </si>
  <si>
    <t>Property Ins. PH2</t>
  </si>
  <si>
    <t>Liability Ins. PH2</t>
  </si>
  <si>
    <t>Umbrella Ins. PH2</t>
  </si>
  <si>
    <t>Property Insurance Paid</t>
  </si>
  <si>
    <t>Liability Insurance Paid</t>
  </si>
  <si>
    <t>Umbrella Insurance- Paid</t>
  </si>
  <si>
    <t>Environmental Insurance Paid</t>
  </si>
  <si>
    <t>Total Expense</t>
  </si>
  <si>
    <t>Accrual Balance</t>
  </si>
  <si>
    <t>Prepaid Insurance</t>
  </si>
  <si>
    <t>Month</t>
  </si>
  <si>
    <t>YTD Total</t>
  </si>
  <si>
    <t>ACCOUNTS REC</t>
  </si>
  <si>
    <t>PREPAID RENT</t>
  </si>
  <si>
    <t>Aged</t>
  </si>
  <si>
    <t>Acc#</t>
  </si>
  <si>
    <t>Actual</t>
  </si>
  <si>
    <t>Budget</t>
  </si>
  <si>
    <t>Variance</t>
  </si>
  <si>
    <t>Variance Explaination</t>
  </si>
  <si>
    <t>Base Rent</t>
  </si>
  <si>
    <t>Variance is due to Pagoda Inn Rent Credit fr 07/12-12/12 in the amount of $308.55 per month.</t>
  </si>
  <si>
    <t>PROPERTY TAX SCHEDULE</t>
  </si>
  <si>
    <t>Property Tax</t>
  </si>
  <si>
    <t>Supplemental Prop Tax</t>
  </si>
  <si>
    <t xml:space="preserve">Prepaid </t>
  </si>
  <si>
    <t xml:space="preserve">Accrual </t>
  </si>
  <si>
    <t>Payment/ Credit</t>
  </si>
  <si>
    <t>Parcel#</t>
  </si>
  <si>
    <t>2015-2016 Actual</t>
  </si>
  <si>
    <t>Per Month</t>
  </si>
  <si>
    <t>957330046-5</t>
  </si>
  <si>
    <t>957330047-6</t>
  </si>
  <si>
    <t>957330048-7</t>
  </si>
  <si>
    <t>957330049-8</t>
  </si>
  <si>
    <t>CAPITAL CONTRIBUTION - 36100</t>
  </si>
  <si>
    <t>Capital Contribution</t>
  </si>
  <si>
    <t>Owners Contribution</t>
  </si>
  <si>
    <t>Owners paid for Patching/seal coating</t>
  </si>
  <si>
    <t xml:space="preserve">Owners paid for Elevator upgrades </t>
  </si>
  <si>
    <t xml:space="preserve">Owners paid for Replace Parking Lot Lights </t>
  </si>
  <si>
    <t>Propert Tax</t>
  </si>
  <si>
    <t>54000-000000</t>
  </si>
  <si>
    <t>13120-000000</t>
  </si>
  <si>
    <t xml:space="preserve">Parcel# </t>
  </si>
  <si>
    <t>Paid by</t>
  </si>
  <si>
    <t>2022-2023 Actual</t>
  </si>
  <si>
    <t>2nd Half</t>
  </si>
  <si>
    <t>750090250000</t>
  </si>
  <si>
    <t>Lender</t>
  </si>
  <si>
    <t>750090280000</t>
  </si>
  <si>
    <t>750090270000</t>
  </si>
  <si>
    <t>750090430000</t>
  </si>
  <si>
    <t>Athena</t>
  </si>
  <si>
    <t>2023-2024 Actual</t>
  </si>
  <si>
    <t xml:space="preserve">Second </t>
  </si>
  <si>
    <t>1st Half</t>
  </si>
  <si>
    <t>2024-2025 Actual</t>
  </si>
  <si>
    <t>375009028</t>
  </si>
  <si>
    <t xml:space="preserve"> 375009025</t>
  </si>
  <si>
    <t xml:space="preserve"> 375009027</t>
  </si>
  <si>
    <t>Total Expense-PH2</t>
  </si>
  <si>
    <t>Accrued Insurance</t>
  </si>
  <si>
    <t>50111-000000</t>
  </si>
  <si>
    <t>50112-000000</t>
  </si>
  <si>
    <t>50130-000000</t>
  </si>
  <si>
    <t>13110-000000</t>
  </si>
  <si>
    <t>20500-000000</t>
  </si>
  <si>
    <t>Query: Insurance Payment period to be asked from the Client</t>
  </si>
  <si>
    <t>IS</t>
  </si>
  <si>
    <t>CM Ledger</t>
  </si>
  <si>
    <t xml:space="preserve">PER I/S </t>
  </si>
  <si>
    <t xml:space="preserve">PER R/L </t>
  </si>
  <si>
    <t xml:space="preserve">VARIANCE </t>
  </si>
  <si>
    <t>VARIANCE EXPLANATION</t>
  </si>
  <si>
    <t>40100-000000 - BASE RENTAL INCOME</t>
  </si>
  <si>
    <t>BAS BASE RENT</t>
  </si>
  <si>
    <t>40106-000000 - DEFERRED RENT RECOVERY</t>
  </si>
  <si>
    <t>RRC RENT RECOVERY</t>
  </si>
  <si>
    <t>40110-000000 - PERCENTAGE RENT</t>
  </si>
  <si>
    <t>PCR PERCENTAGE RENT</t>
  </si>
  <si>
    <t>40129-000000 - PARKING RENT</t>
  </si>
  <si>
    <t>PKG PARKING RENT</t>
  </si>
  <si>
    <t>40140-000000 - COMMON AREA INCOME</t>
  </si>
  <si>
    <t>CAM COMMON AREA MAINT</t>
  </si>
  <si>
    <t>40150-000000 - PRIOR YEAR CAM</t>
  </si>
  <si>
    <t>PYC PRIOR YEAR CAM</t>
  </si>
  <si>
    <t>40160-000000 - TENANT BILL BACKS</t>
  </si>
  <si>
    <t>TBB TENANT BILL BACKS</t>
  </si>
  <si>
    <t>40170-000000 - OTHER RECOVERIES</t>
  </si>
  <si>
    <t>NCA OTHER RECOVERIES</t>
  </si>
  <si>
    <t>40180-000000 - FOOD COURT CAM</t>
  </si>
  <si>
    <t>IFC FOOD COURT CAM</t>
  </si>
  <si>
    <t>40220-000000 - RENT CONCESSIONS</t>
  </si>
  <si>
    <t>ABA RENT CONCESSIONS</t>
  </si>
  <si>
    <t>40230-000000 - INSURANCE INCOME</t>
  </si>
  <si>
    <t>INS INSURANCE-CAM</t>
  </si>
  <si>
    <t>40240-000000 - PROPERTY TAX INCOME</t>
  </si>
  <si>
    <t>RET REAL ESTATE TAX</t>
  </si>
  <si>
    <t>40250-000000 - MISCELLANEOUS INCOME</t>
  </si>
  <si>
    <t>40300-000000 - MARKETING INCOME</t>
  </si>
  <si>
    <t>LATE CHARGE</t>
  </si>
  <si>
    <t>41100-000000 - OTHER INCOME</t>
  </si>
  <si>
    <t>GET GENERAL EXCISE TAX</t>
  </si>
  <si>
    <t>PPR PREPAID RENT</t>
  </si>
  <si>
    <t>Rent Roll</t>
  </si>
  <si>
    <t xml:space="preserve">Account Receivable </t>
  </si>
  <si>
    <t>Prepaid Rent</t>
  </si>
  <si>
    <t>Deferred Rent Recovery</t>
  </si>
  <si>
    <t>Aged Deliquencies</t>
  </si>
  <si>
    <t>Database: ATHENA</t>
  </si>
  <si>
    <t>ENTITY: 165</t>
  </si>
  <si>
    <t>Athena Property Management</t>
  </si>
  <si>
    <t>Report includes an open period.  Entries are not final.</t>
  </si>
  <si>
    <t>12410-000000</t>
  </si>
  <si>
    <t>ALLOWANCE FOR BAD DEBT</t>
  </si>
  <si>
    <t>PREPAID PROPERTY TAXES</t>
  </si>
  <si>
    <t>LAND COSTS</t>
  </si>
  <si>
    <t>BUILDING</t>
  </si>
  <si>
    <t>BUILDING IMPROVEMENTS</t>
  </si>
  <si>
    <t>TENANT IMPROVEMENTS</t>
  </si>
  <si>
    <t>LEASING COMMISSIONS</t>
  </si>
  <si>
    <t>20800-000000</t>
  </si>
  <si>
    <t>TENANT SECURITY DEPOSIT</t>
  </si>
  <si>
    <t>20900-000000</t>
  </si>
  <si>
    <t>AP - AFFILIATES</t>
  </si>
  <si>
    <t>30400-000000</t>
  </si>
  <si>
    <t>PRIOR YR RETAINED EARNING</t>
  </si>
  <si>
    <t>OWNER'S DISTRIBUTION</t>
  </si>
  <si>
    <t>OWNER'S CONTRIBUTION</t>
  </si>
  <si>
    <t>PERCENTAGE RENT</t>
  </si>
  <si>
    <t>COMMON AREA INCOME</t>
  </si>
  <si>
    <t>PRIOR YEAR CAM</t>
  </si>
  <si>
    <t>OTHER RECOVERIES</t>
  </si>
  <si>
    <t>INSURANCE INCOME</t>
  </si>
  <si>
    <t>INSURANCE-PROPERTY</t>
  </si>
  <si>
    <t>INSURANCE-LIABILITY</t>
  </si>
  <si>
    <t>INSURANCE-UMBRELLA</t>
  </si>
  <si>
    <t>70300-000000</t>
  </si>
  <si>
    <t>BAD DEBT EXPENSE</t>
  </si>
  <si>
    <t>MONTHLY OPERATING STATEMENTS</t>
  </si>
  <si>
    <t>Year-To-Date</t>
  </si>
  <si>
    <t>Thru:</t>
  </si>
  <si>
    <t>RENTAL INCOME</t>
  </si>
  <si>
    <t>TOTAL RENTAL INCOME</t>
  </si>
  <si>
    <t>TOTAL INCOME</t>
  </si>
  <si>
    <t>COMMON AREA EXPENSES</t>
  </si>
  <si>
    <t>50111-000000 - INSURANCE-PROPERTY</t>
  </si>
  <si>
    <t>50112-000000 - INSURANCE-LIABILITY</t>
  </si>
  <si>
    <t>50130-000000 - INSURANCE-UMBRELLA</t>
  </si>
  <si>
    <t>50170-000000 - LANDSCAPE-MAINTENANCE</t>
  </si>
  <si>
    <t>50190-000000 - LANDSCAPE-SPRINKLER REPAIRS</t>
  </si>
  <si>
    <t>50210-000000 - ELEVATOR MAINTENANCE</t>
  </si>
  <si>
    <t>50530-000000 - PARKING LOT LIGHT REPAIRS</t>
  </si>
  <si>
    <t>50551-000000 - SIGN REPAIRS</t>
  </si>
  <si>
    <t>51020-000000 - GENERAL MAINTENANCE</t>
  </si>
  <si>
    <t>51040-000000 - JANITORIAL</t>
  </si>
  <si>
    <t>51050-000000 - PEST CONTROL MAINTENANCE</t>
  </si>
  <si>
    <t>51080-000000 - ON SITE MANAGEMENT FEES</t>
  </si>
  <si>
    <t>51150-000000 - SWEEPING</t>
  </si>
  <si>
    <t>51160-000000 - SECURITY</t>
  </si>
  <si>
    <t>51210-000000 - PLUMBING REPAIRS</t>
  </si>
  <si>
    <t>52010-000000 - JANITORIAL SUPPLIES</t>
  </si>
  <si>
    <t>55110-000000 - ELECTRIC/COMMON AREA</t>
  </si>
  <si>
    <t>55120-000000 - TRASH REMOVAL</t>
  </si>
  <si>
    <t>55140-000000 - WATER/COMMON AREA</t>
  </si>
  <si>
    <t>55160-000000 - GAS</t>
  </si>
  <si>
    <t>55180-000000 - WATER/SEWER</t>
  </si>
  <si>
    <t>55190-000000 - GROUND RENT</t>
  </si>
  <si>
    <t>57110-000000 - FOOD COURT-JANITORIAL&amp;SUPPLIES</t>
  </si>
  <si>
    <t>57120-000000 - FOOD COURT-GAS</t>
  </si>
  <si>
    <t>57130-000000 - FOOD COURT-SECURITY</t>
  </si>
  <si>
    <t>57140-000000 - FOOD COURT-TRASH</t>
  </si>
  <si>
    <t>70411-000000 - GENERAL EXCISE TAX PAYMENTS</t>
  </si>
  <si>
    <t>TOTAL COMMON AREA EXPENSE</t>
  </si>
  <si>
    <t>NET OPERATING INCOME</t>
  </si>
  <si>
    <t>OWNER EXPENSES</t>
  </si>
  <si>
    <t>70230-000000 - OTHER PROFESSIONAL FEES</t>
  </si>
  <si>
    <t>70260-000000 - ADVERTISING/MARKETING</t>
  </si>
  <si>
    <t>70280-000000 - BANK CHARGES</t>
  </si>
  <si>
    <t>70320-000000 - UTILITIES EXPENSE</t>
  </si>
  <si>
    <t>TOTAL OWNER EXPENSES</t>
  </si>
  <si>
    <t>70360-000000 - ASSET MANAGEMENT FEES</t>
  </si>
  <si>
    <t>INTEREST EXPENSE</t>
  </si>
  <si>
    <t>70125-000000 - NTEREST EXPENSE-MORGAN STANLEY</t>
  </si>
  <si>
    <t>TOTAL INTEREST EXPENSE</t>
  </si>
  <si>
    <t>NET INCOME</t>
  </si>
  <si>
    <t>Category</t>
  </si>
  <si>
    <t>Mo. Rep Charges</t>
  </si>
  <si>
    <t>Beg Balance</t>
  </si>
  <si>
    <t>Charges Cash Receipts</t>
  </si>
  <si>
    <t>N/C Credits</t>
  </si>
  <si>
    <t>Refunds</t>
  </si>
  <si>
    <t>End Balance</t>
  </si>
  <si>
    <t>Sec Dep Bal</t>
  </si>
  <si>
    <t>Balance</t>
  </si>
  <si>
    <t>Grand Total:</t>
  </si>
  <si>
    <t>AR Credits/CAM Credit  AC #40140</t>
  </si>
  <si>
    <t>ONLY MAKE JOURNAL ENTRIES FOR CASH BOOK WHEN TENANTS TAKE THE CREDITS</t>
  </si>
  <si>
    <t xml:space="preserve">DO NOT MAKE ANY JES FOR ACCRUAL BOOKS </t>
  </si>
  <si>
    <t>Aging Set</t>
  </si>
  <si>
    <t>Unit Number</t>
  </si>
  <si>
    <t>0</t>
  </si>
  <si>
    <t>1 – 30</t>
  </si>
  <si>
    <t>31 – 60</t>
  </si>
  <si>
    <t>61 – 90</t>
  </si>
  <si>
    <t>91 – 120</t>
  </si>
  <si>
    <t>121 +</t>
  </si>
  <si>
    <t>Grand Total</t>
  </si>
  <si>
    <t>Credit Amount</t>
  </si>
  <si>
    <t>DR 26300</t>
  </si>
  <si>
    <t>002 (BU3700202)</t>
  </si>
  <si>
    <t xml:space="preserve">CR 40140 </t>
  </si>
  <si>
    <t>011 (BU3700201)</t>
  </si>
  <si>
    <t>OR CR 40150 (USE THIS ACT ONLY FOR HOMEGOODS)</t>
  </si>
  <si>
    <t>001 (BU3700202)</t>
  </si>
  <si>
    <t>005 (BU3700202)</t>
  </si>
  <si>
    <t>016 (BU3700201)</t>
  </si>
  <si>
    <t>002 (BU3700201)</t>
  </si>
  <si>
    <t>017 (BU3700201)</t>
  </si>
  <si>
    <t>006 (BU3700201)</t>
  </si>
  <si>
    <t>016 (BU3700202)</t>
  </si>
  <si>
    <t>008 (BU3700201)</t>
  </si>
  <si>
    <t>007 (BU3700202)</t>
  </si>
  <si>
    <t>009 (BU3700202)</t>
  </si>
  <si>
    <t>PYC Credit AC #40150</t>
  </si>
  <si>
    <t>Total AC #26300</t>
  </si>
  <si>
    <t>CASH BASIS:</t>
  </si>
  <si>
    <t>Comp IS</t>
  </si>
  <si>
    <t>Cash Receipts</t>
  </si>
  <si>
    <t>BASE RENTAL</t>
  </si>
  <si>
    <t>Jewelry Unlimited $2,532.40 + Togo's $9,780 Security Deposit Applied</t>
  </si>
  <si>
    <t>OTHER RENT</t>
  </si>
  <si>
    <t>REAL ESTATE TAX</t>
  </si>
  <si>
    <t>MANAGEMENT FEE INCOME</t>
  </si>
  <si>
    <t>Tuesday Morning ($246) + Burlington Coat ($106.81) + Aaron Brother ($116.08) + Fitzone ($30.10)</t>
  </si>
  <si>
    <t>TENANT BILL BACKS</t>
  </si>
  <si>
    <t>TOTAL</t>
  </si>
  <si>
    <t>ACCRUAL BASIS:</t>
  </si>
  <si>
    <t>Rent Up</t>
  </si>
  <si>
    <t xml:space="preserve">Togo's $3,594.15 + Jewelry Unlimited $1,670.92 + Applebees $7,916.67 </t>
  </si>
  <si>
    <t>20650-000000</t>
  </si>
  <si>
    <t>ACCRUED OPERATING EXP</t>
  </si>
  <si>
    <t>ACCRUED INTEREST EXPENSE</t>
  </si>
  <si>
    <t>Books</t>
  </si>
  <si>
    <t>Accrual / Cash</t>
  </si>
  <si>
    <t>Account#</t>
  </si>
  <si>
    <t>Balance from Schedule</t>
  </si>
  <si>
    <t>Balance from TB</t>
  </si>
  <si>
    <t>Comments</t>
  </si>
  <si>
    <t>10410-000000</t>
  </si>
  <si>
    <t>ESCROW-PROPERTY TAX</t>
  </si>
  <si>
    <t>10420-000000</t>
  </si>
  <si>
    <t>ESCROW-RESERVE ACT</t>
  </si>
  <si>
    <t>10432-000000</t>
  </si>
  <si>
    <t>ESCROW-LC RESERVE</t>
  </si>
  <si>
    <t>10445-000000</t>
  </si>
  <si>
    <t>ESCROW-CASH MANAGEMENT</t>
  </si>
  <si>
    <t>12020-000000</t>
  </si>
  <si>
    <t>ACCOUNTS RECEIVABLE OTHER</t>
  </si>
  <si>
    <t>13000-000000</t>
  </si>
  <si>
    <t>SUSPENSE</t>
  </si>
  <si>
    <t>13150-000000</t>
  </si>
  <si>
    <t>FROM 801 MAIN STREET</t>
  </si>
  <si>
    <t>NA</t>
  </si>
  <si>
    <t>17600-000000</t>
  </si>
  <si>
    <t>18100-000000</t>
  </si>
  <si>
    <t>ACCUMULATED DEPRECIATION</t>
  </si>
  <si>
    <t>18200-000000</t>
  </si>
  <si>
    <t>ACCUMULATED AMORTIZATION</t>
  </si>
  <si>
    <t>20100-000000</t>
  </si>
  <si>
    <t>ACCOUNTS PAYABLE</t>
  </si>
  <si>
    <t>23800-000000</t>
  </si>
  <si>
    <t>NOTES PAYABLE-GOLDMAN SACHS</t>
  </si>
  <si>
    <t>25910-000000</t>
  </si>
  <si>
    <t>NOTE PAYABLE-OSTERMAN</t>
  </si>
  <si>
    <t>Insurance</t>
  </si>
  <si>
    <t>12100-000000</t>
  </si>
  <si>
    <t>LOAN RECEIVABLE</t>
  </si>
  <si>
    <t>30100-000000</t>
  </si>
  <si>
    <t>EQUITY</t>
  </si>
  <si>
    <t>40250-000000</t>
  </si>
  <si>
    <t>MISCELLANEOUS INCOME</t>
  </si>
  <si>
    <t>MISC DEPOSIT</t>
  </si>
  <si>
    <t>15200-000000</t>
  </si>
  <si>
    <t>17000-000000</t>
  </si>
  <si>
    <t>12010-000000</t>
  </si>
  <si>
    <t>50160-000000</t>
  </si>
  <si>
    <t>LANDSCAPE-CONSUMABLES</t>
  </si>
  <si>
    <t>50170-000000</t>
  </si>
  <si>
    <t>LANDSCAPE-MAINTENANCE</t>
  </si>
  <si>
    <t>50190-000000</t>
  </si>
  <si>
    <t>LANDSCAPE-SPRINKLER REPAIRS</t>
  </si>
  <si>
    <t>50210-000000</t>
  </si>
  <si>
    <t>ELEVATOR MAINTENANCE</t>
  </si>
  <si>
    <t>50520-000000</t>
  </si>
  <si>
    <t>PARKING LOT MAINTENANCE</t>
  </si>
  <si>
    <t>50551-000000</t>
  </si>
  <si>
    <t>SIGN REPAIRS</t>
  </si>
  <si>
    <t>51020-000000</t>
  </si>
  <si>
    <t>GENERAL MAINTENANCE</t>
  </si>
  <si>
    <t>51040-000000</t>
  </si>
  <si>
    <t>JANITORIAL</t>
  </si>
  <si>
    <t>51050-000000</t>
  </si>
  <si>
    <t>51070-000000</t>
  </si>
  <si>
    <t>ROOF REPAIRS</t>
  </si>
  <si>
    <t>51110-000000</t>
  </si>
  <si>
    <t>MONITOR FIRE SPRINKLERS</t>
  </si>
  <si>
    <t>51120-000000</t>
  </si>
  <si>
    <t>FIRE PROTECTION REPAIRS</t>
  </si>
  <si>
    <t>51150-000000</t>
  </si>
  <si>
    <t>SWEEPING</t>
  </si>
  <si>
    <t>51160-000000</t>
  </si>
  <si>
    <t>SECURITY</t>
  </si>
  <si>
    <t>51210-000000</t>
  </si>
  <si>
    <t>PLUMBING REPAIRS</t>
  </si>
  <si>
    <t>52010-000000</t>
  </si>
  <si>
    <t>JANITORIAL SUPPLIES</t>
  </si>
  <si>
    <t>55110-000000</t>
  </si>
  <si>
    <t>ELECTRIC/COMMON AREA</t>
  </si>
  <si>
    <t>55120-000000</t>
  </si>
  <si>
    <t>TRASH REMOVAL</t>
  </si>
  <si>
    <t>55140-000000</t>
  </si>
  <si>
    <t>WATER/COMMON AREA</t>
  </si>
  <si>
    <t>55160-000000</t>
  </si>
  <si>
    <t>GAS</t>
  </si>
  <si>
    <t>55180-000000</t>
  </si>
  <si>
    <t>55190-000000</t>
  </si>
  <si>
    <t>GROUND RENT</t>
  </si>
  <si>
    <t>57110-000000</t>
  </si>
  <si>
    <t>FOOD COURT-JANITORIAL&amp;SUPPLIES</t>
  </si>
  <si>
    <t>57120-000000</t>
  </si>
  <si>
    <t>FOOD COURT-GAS</t>
  </si>
  <si>
    <t>57130-000000</t>
  </si>
  <si>
    <t>FOOD COURT-SECURITY</t>
  </si>
  <si>
    <t>57140-000000</t>
  </si>
  <si>
    <t>FOOD COURT-TRASH</t>
  </si>
  <si>
    <t>70411-000000</t>
  </si>
  <si>
    <t>GENERAL EXCISE TAX PAYMENTS</t>
  </si>
  <si>
    <t>ACCRUE JANITORIAL SUPPLIES</t>
  </si>
  <si>
    <t xml:space="preserve">3 accts </t>
  </si>
  <si>
    <t>#8546278012</t>
  </si>
  <si>
    <t>#8546276013</t>
  </si>
  <si>
    <t>Cash</t>
  </si>
  <si>
    <t>Grand Totals:</t>
  </si>
  <si>
    <t>Property#</t>
  </si>
  <si>
    <t>NET CASH FLOW</t>
  </si>
  <si>
    <t>MIS MISCELLANEOUS INCOME</t>
  </si>
  <si>
    <t>50540-000000</t>
  </si>
  <si>
    <t>PARKING LOT REPAIRS</t>
  </si>
  <si>
    <t>51220-000000</t>
  </si>
  <si>
    <t>PAINTING</t>
  </si>
  <si>
    <t>REFINANCE PROCEED DISTRIBTED</t>
  </si>
  <si>
    <t>ACCRUE 06/25 PEST CONTROL</t>
  </si>
  <si>
    <t>ACCRUE 06/25 RODENT</t>
  </si>
  <si>
    <t>20200-000000</t>
  </si>
  <si>
    <t>70186-000000 - SWAP INTEREST</t>
  </si>
  <si>
    <t>12060-000000</t>
  </si>
  <si>
    <t>PER TB</t>
  </si>
  <si>
    <t xml:space="preserve">Bad Debt Exp </t>
  </si>
  <si>
    <t>51030-000000</t>
  </si>
  <si>
    <t>MISC MAINT &amp; REPAIRS</t>
  </si>
  <si>
    <t xml:space="preserve">ACCRUE 8/13/25 TO 08/31/25  ELECTRIC/CAM </t>
  </si>
  <si>
    <t xml:space="preserve">ACCRUE 08/25 TRASH </t>
  </si>
  <si>
    <t>ACCRUE 07/08 - 08/31/25 WATER/CAM</t>
  </si>
  <si>
    <t>ACCRUE 07/29 - 08/31/25  WATER/FIRE</t>
  </si>
  <si>
    <t>ACCRUE 06/01/2025- 08/31/25  WATER/SEWER</t>
  </si>
  <si>
    <t>ACCRUE 07/02/25 to 08/31/25 FOOD COURT GAS</t>
  </si>
  <si>
    <t xml:space="preserve">ACCRUE 08/25 FC TRASH </t>
  </si>
  <si>
    <t>ACCRUE 08/25 GET</t>
  </si>
  <si>
    <t>70463-000000 - LOSS AGAINST INS CLAIMS</t>
  </si>
  <si>
    <t>`</t>
  </si>
  <si>
    <t xml:space="preserve">ACCRUE 07/02/25 TO 08/31/25 GAS </t>
  </si>
  <si>
    <t>SMART PEST PREVENTION LLC</t>
  </si>
  <si>
    <t>ACCRUE 08/25 RODENT</t>
  </si>
  <si>
    <t>52020-000000</t>
  </si>
  <si>
    <t>BACKFLOW-MAINTENANCE</t>
  </si>
  <si>
    <t>2025-2026 Actual</t>
  </si>
  <si>
    <t>PORTER RANCH RETAIL II, INC.</t>
  </si>
  <si>
    <t>ACCRUE OPERATING EXPENSE-20650</t>
  </si>
  <si>
    <t>GL Code</t>
  </si>
  <si>
    <t>GL Desc.</t>
  </si>
  <si>
    <t>Total Budget</t>
  </si>
  <si>
    <t>Exp Type</t>
  </si>
  <si>
    <t>Actual Trend</t>
  </si>
  <si>
    <t>Accrl Svc</t>
  </si>
  <si>
    <t>Description of Work</t>
  </si>
  <si>
    <t>Notes</t>
  </si>
  <si>
    <t>Contigency</t>
  </si>
  <si>
    <t>Paid</t>
  </si>
  <si>
    <t>ACCRUE OPERATING EXPENSES</t>
  </si>
  <si>
    <t>51060-000000</t>
  </si>
  <si>
    <t>ROOF MAINTENANCE</t>
  </si>
  <si>
    <t>51200-000000</t>
  </si>
  <si>
    <t>ELECTRICAL REPAIRS/CAM</t>
  </si>
  <si>
    <t>Contract</t>
  </si>
  <si>
    <t>HAWAII ISLAND LAWNS</t>
  </si>
  <si>
    <t>PACIFIC WASTE</t>
  </si>
  <si>
    <t>DEPT OF WATER SUPPLY</t>
  </si>
  <si>
    <t>HAWAII GAS</t>
  </si>
  <si>
    <t>WATER/SEWER #85462</t>
  </si>
  <si>
    <t>COUNTY DIRECTOR</t>
  </si>
  <si>
    <t>SMART PEST PREVENTION</t>
  </si>
  <si>
    <t>PEST CONTROL MAINT-RODENT</t>
  </si>
  <si>
    <t>CITY OF HAWAII</t>
  </si>
  <si>
    <t>SAMPLE:</t>
  </si>
  <si>
    <t>Trial Balance</t>
  </si>
  <si>
    <t>Page:</t>
  </si>
  <si>
    <t>1</t>
  </si>
  <si>
    <t>Time:</t>
  </si>
  <si>
    <t>Accrual</t>
  </si>
  <si>
    <t>Account</t>
  </si>
  <si>
    <t>Debit</t>
  </si>
  <si>
    <t>Credit</t>
  </si>
  <si>
    <t>No Department</t>
  </si>
  <si>
    <t>10175-000000</t>
  </si>
  <si>
    <t>CASH OPERATING-MECHANICS BANK</t>
  </si>
  <si>
    <t>ACCOUNTS RECEIVABLE</t>
  </si>
  <si>
    <t>MISCELLANEOUS DEPOSITS</t>
  </si>
  <si>
    <t>15400-000000</t>
  </si>
  <si>
    <t>CAPITAL IMPROVEMENT</t>
  </si>
  <si>
    <t>CONSTRUCTION IN PROGRESS</t>
  </si>
  <si>
    <t>18300-000000</t>
  </si>
  <si>
    <t>ACCUM DEPR-BUILDING</t>
  </si>
  <si>
    <t>18500-000000</t>
  </si>
  <si>
    <t>ACCUM DEPR-TENANT IMPROVEMENTS</t>
  </si>
  <si>
    <t>18900-000000</t>
  </si>
  <si>
    <t>ACCUM AMORT-LOAN FEES</t>
  </si>
  <si>
    <t>NOTES PAYABLE-MORGAN STANLEY</t>
  </si>
  <si>
    <t>40100-000000</t>
  </si>
  <si>
    <t>BASE RENTAL INCOME</t>
  </si>
  <si>
    <t>40106-000000</t>
  </si>
  <si>
    <t>DEFERRED RENT RECOVERY</t>
  </si>
  <si>
    <t>40110-000000</t>
  </si>
  <si>
    <t>40129-000000</t>
  </si>
  <si>
    <t>PARKING RENT</t>
  </si>
  <si>
    <t>40140-000000</t>
  </si>
  <si>
    <t>40170-000000</t>
  </si>
  <si>
    <t>40180-000000</t>
  </si>
  <si>
    <t>FOOD COURT CAM</t>
  </si>
  <si>
    <t>40230-000000</t>
  </si>
  <si>
    <t>40240-000000</t>
  </si>
  <si>
    <t>PROPERTY TAX INCOME</t>
  </si>
  <si>
    <t>40300-000000</t>
  </si>
  <si>
    <t>MARKETING INCOME</t>
  </si>
  <si>
    <t>41100-000000</t>
  </si>
  <si>
    <t>OTHER INCOME</t>
  </si>
  <si>
    <t>50530-000000</t>
  </si>
  <si>
    <t>PARKING LOT LIGHT REPAIRS</t>
  </si>
  <si>
    <t>PEST CONTROL MAINTENANCE</t>
  </si>
  <si>
    <t>51080-000000</t>
  </si>
  <si>
    <t>ON SITE MANAGEMENT FEES</t>
  </si>
  <si>
    <t>WATER/SEWER</t>
  </si>
  <si>
    <t>70186-000000</t>
  </si>
  <si>
    <t>SWAP INTEREST</t>
  </si>
  <si>
    <t>70220-000000</t>
  </si>
  <si>
    <t>70230-000000</t>
  </si>
  <si>
    <t>OTHER PROFESSIONAL FEES</t>
  </si>
  <si>
    <t>70260-000000</t>
  </si>
  <si>
    <t>ADVERTISING/MARKETING</t>
  </si>
  <si>
    <t>70280-000000</t>
  </si>
  <si>
    <t>BANK CHARGES</t>
  </si>
  <si>
    <t>70360-000000</t>
  </si>
  <si>
    <t>ASSET MANAGEMENT FEES</t>
  </si>
  <si>
    <t>70463-000000</t>
  </si>
  <si>
    <t>LOSS AGAINST INS CLAIMS</t>
  </si>
  <si>
    <t>Total:</t>
  </si>
  <si>
    <t>CAFE KONA</t>
  </si>
  <si>
    <t>Comparative Income Statement</t>
  </si>
  <si>
    <t>Current Period</t>
  </si>
  <si>
    <t>NOT IN R/L</t>
  </si>
  <si>
    <t>40102-000000 - RENT DEFERRAL</t>
  </si>
  <si>
    <t>RDR RENT DEFERRAL</t>
  </si>
  <si>
    <t>5873 10/29/2025 ISLAND LAVA JAVA</t>
  </si>
  <si>
    <t>6/05/2025-5/31/2037</t>
  </si>
  <si>
    <t>CPA YEAR AJE # 7</t>
  </si>
  <si>
    <t>CPA YEAR AJE # 11</t>
  </si>
  <si>
    <t>CPA YEAR AJE # 9</t>
  </si>
  <si>
    <t>CPA YEAR AJE # 1</t>
  </si>
  <si>
    <t>CPA YEAR AJE # 5</t>
  </si>
  <si>
    <t>CPA YEAR AJE # 10</t>
  </si>
  <si>
    <t>ACCRUE 10/02-11/30 GAS</t>
  </si>
  <si>
    <t>ACCRUE 10/02-11/30/25 FOOD COURT-GAS</t>
  </si>
  <si>
    <t>10/02-11/30</t>
  </si>
  <si>
    <t xml:space="preserve">10/02-11/30/25 </t>
  </si>
  <si>
    <t xml:space="preserve"> 11/21/2025</t>
  </si>
  <si>
    <t>HOT POT SVNGO COMMERCIAL</t>
  </si>
  <si>
    <t>6/25/2026-6/30/2036</t>
  </si>
  <si>
    <t>SHORT TERM LOAN PAYMENT</t>
  </si>
  <si>
    <t>Secuirty</t>
  </si>
  <si>
    <t>12/25</t>
  </si>
  <si>
    <t>12/12-12/31</t>
  </si>
  <si>
    <t>ACCRUE 12/12-12/31/25 ELECTRIC/CAM</t>
  </si>
  <si>
    <t>ACCRUE 09/06-12/31/25 WATER/CAM</t>
  </si>
  <si>
    <t>11/26-12/31/25</t>
  </si>
  <si>
    <t>ACCRUE 11/26-12/31/25 WATER/CAM</t>
  </si>
  <si>
    <t>10/01-12/31/25</t>
  </si>
  <si>
    <t>ACCRUE 10/01-12/31/25 WATER/SEWER</t>
  </si>
  <si>
    <t>ACCRUE 12/25 FOOD COURT-SECURITY</t>
  </si>
  <si>
    <t>ACCRUE 12/25 FOOD COURT-TRASH</t>
  </si>
  <si>
    <t>ACCRUE 12/25 GET</t>
  </si>
  <si>
    <t>00127459 Cash Recpt NON-TENANT</t>
  </si>
  <si>
    <t>5905 12/4/2025 ELEVATOR MOD CM FEE</t>
  </si>
  <si>
    <t>5918 12/18/2025 ABC LC RNWL</t>
  </si>
  <si>
    <t>9/1/2005-12/31/2030</t>
  </si>
  <si>
    <t>LOAN FEES - 17600</t>
  </si>
  <si>
    <t>TO CAPITALIZE LOAN FEES ORGINATED FROM NEW LOAN</t>
  </si>
  <si>
    <t>-</t>
  </si>
  <si>
    <t>11/03-12/31</t>
  </si>
  <si>
    <t>11/06/25-12/31/25</t>
  </si>
  <si>
    <t>70320-000000</t>
  </si>
  <si>
    <t>UTILITIES EXPENSE</t>
  </si>
  <si>
    <t>REV REFI PROCEED DIST TO THE PARTNERS</t>
  </si>
  <si>
    <t>FOR THE MONTH ENDED 01/31/26</t>
  </si>
  <si>
    <t>70125-000000</t>
  </si>
  <si>
    <t>NTEREST EXPENSE-MORGAN STANLEY</t>
  </si>
  <si>
    <t>Reclass</t>
  </si>
  <si>
    <t>01/26 INSURANCE</t>
  </si>
  <si>
    <t>13130-000000</t>
  </si>
  <si>
    <t>Coconut Grove Retail</t>
  </si>
  <si>
    <t>LEASING COMMISSIONS - 16500</t>
  </si>
  <si>
    <t>OpeningBalanceforYear</t>
  </si>
  <si>
    <t>ISLAND LAVA JAVA</t>
  </si>
  <si>
    <t>06/01/2032-5/31/2037</t>
  </si>
  <si>
    <t>HOT POT SVN GO COMMERCIAL</t>
  </si>
  <si>
    <t xml:space="preserve">5900 11/20/2025 LC1ST 1/2 Q </t>
  </si>
  <si>
    <t>ABC STORE</t>
  </si>
  <si>
    <t>01/01/2026-12/31/2030</t>
  </si>
  <si>
    <t>5918 12/18/2025 ABC LC  RNWL</t>
  </si>
  <si>
    <t>PROPERTY TAX</t>
  </si>
  <si>
    <t>50160-000000 - LANDSCAPE-CONSUMABLES</t>
  </si>
  <si>
    <t>50520-000000 - PARKING LOT MAINTENANCE</t>
  </si>
  <si>
    <t>50540-000000 - PARKING LOT REPAIRS</t>
  </si>
  <si>
    <t>51060-000000 - ROOF MAINTENANCE</t>
  </si>
  <si>
    <t>54000-000000 - PROPERTY TAX</t>
  </si>
  <si>
    <t>70220-000000 - LEGAL FEES</t>
  </si>
  <si>
    <t>70340-000000 - POSTAGE &amp; SHIPPING</t>
  </si>
  <si>
    <t>CAPITAL EXPENSES</t>
  </si>
  <si>
    <t>15100-000000 - TENANT IMPROVEMENTS</t>
  </si>
  <si>
    <t>TOTAL CAPITAL EXPENSES</t>
  </si>
  <si>
    <t>052830</t>
  </si>
  <si>
    <t>Payment received</t>
  </si>
  <si>
    <t>5996 3/5/2026 4/26-3/29 RNWL KONA GE ATHENA MANAGEMENT INC</t>
  </si>
  <si>
    <t>4/1/2026-3/31/2029</t>
  </si>
  <si>
    <t xml:space="preserve">KONA GE </t>
  </si>
  <si>
    <t>5996 3/5/2026 4/26-3/29 RNWL</t>
  </si>
  <si>
    <t>053294</t>
  </si>
  <si>
    <t>02/26 INSURANCE</t>
  </si>
  <si>
    <t>03/26 INSURANCE</t>
  </si>
  <si>
    <t>51110-000000 - MONITOR FIRE SPRINKLERS</t>
  </si>
  <si>
    <t>70210-000000 - GENERAL REPAIRS &amp; MAINT</t>
  </si>
  <si>
    <t>16500-000000 - LEASING COMMISSIONS</t>
  </si>
  <si>
    <t>35000-000000 - OWNER'S DISTRIBUTION</t>
  </si>
  <si>
    <t>70210-000000</t>
  </si>
  <si>
    <t>GENERAL REPAIRS &amp; MAINT</t>
  </si>
  <si>
    <t>70340-000000</t>
  </si>
  <si>
    <t>POSTAGE &amp; SHIPPING</t>
  </si>
  <si>
    <t>70370-000000</t>
  </si>
  <si>
    <t>LICENSE &amp; PERMIT FEES</t>
  </si>
  <si>
    <t>70420-000000</t>
  </si>
  <si>
    <t>BOND</t>
  </si>
  <si>
    <t>04/26 INSURANCE</t>
  </si>
  <si>
    <t>PRO PROMOTION FUND CHARGE</t>
  </si>
  <si>
    <t>51070-000000 - ROOF REPAIRS</t>
  </si>
  <si>
    <t>51120-000000 - FIRE PROTECTION REPAIRS</t>
  </si>
  <si>
    <t>70370-000000 - LICENSE &amp; PERMIT FEES</t>
  </si>
  <si>
    <t>70420-000000 - BOND</t>
  </si>
  <si>
    <t>70400-000000 - STATE FRANCHISE TAXES</t>
  </si>
  <si>
    <t>15010-000000 - BUILDING IMPROVEMENTS</t>
  </si>
  <si>
    <t>6050 4/23/2026 ELEVATOR MOD PAY APP 2 OTIS ELEVATOR COMPANY</t>
  </si>
  <si>
    <t>40150-000000</t>
  </si>
  <si>
    <t>FOR THE MONTH ENDED 05/31/2026</t>
  </si>
  <si>
    <t>05/26 INSURANCE</t>
  </si>
  <si>
    <t>52030-000000 - BACKFLOW-REPAIRS</t>
  </si>
  <si>
    <t>40102-000000</t>
  </si>
  <si>
    <t>RENT DEFERRAL</t>
  </si>
  <si>
    <t>51023-000000</t>
  </si>
  <si>
    <t>SITE FURNISHING-REPAIRS</t>
  </si>
  <si>
    <t>06/26 INSURANCE</t>
  </si>
  <si>
    <t>51023-000000 - SITE FURNISHING-REPAIRS</t>
  </si>
  <si>
    <t>52020-000000 - BACKFLOW-MAINTENANCE</t>
  </si>
  <si>
    <t>ADJUSTED NET OPERATING INCOME</t>
  </si>
  <si>
    <t>CORPORATE G&amp;A EXPENSES</t>
  </si>
  <si>
    <t>TOTAL CORP. G&amp;A EXPENSES</t>
  </si>
  <si>
    <t>ADJUSTED NOI AFTER G&amp;A EXP</t>
  </si>
  <si>
    <t>NOI AFTER INT. EXPENSE &amp; G&amp;A EXP</t>
  </si>
  <si>
    <t>12100-000000 - LOAN RECEIVABLE</t>
  </si>
  <si>
    <t>JW CLEANING SYSTEMS LLC</t>
  </si>
  <si>
    <t>6104 6/24/2026 TBB ISLAND LAVA JAVA JW CLEANING SYSTEMS LLC</t>
  </si>
  <si>
    <t>FOR THE MONTH 07/31/2026</t>
  </si>
  <si>
    <t>Year to Date Balances for period 07/26</t>
  </si>
  <si>
    <t>CYPRESS PREMIUM FUNDING, INC.</t>
  </si>
  <si>
    <t>PROPERTY INS</t>
  </si>
  <si>
    <t>0506-0708 85463600-13</t>
  </si>
  <si>
    <t>0506-0708 85462749-10</t>
  </si>
  <si>
    <t>0506-0708 8546276013</t>
  </si>
  <si>
    <t>0506-0708 8546278012</t>
  </si>
  <si>
    <t>0506-0708 85462789-10</t>
  </si>
  <si>
    <t>ACCRUE 07/26 INTEREST EXPENSE</t>
  </si>
  <si>
    <t>07/26 INSURANCE</t>
  </si>
  <si>
    <t>056035</t>
  </si>
  <si>
    <t>Opening Balance for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</si>
</sst>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4">
    <numFmt numFmtId="5" formatCode="&quot;$&quot;#,##0_);\(&quot;$&quot;#,##0\)"/>
    <numFmt numFmtId="7" formatCode="&quot;$&quot;#,##0.00_);\(&quot;$&quot;#,##0.00\)"/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&quot;$&quot;#,##0"/>
    <numFmt numFmtId="166" formatCode="mm/dd/yy"/>
    <numFmt numFmtId="167" formatCode="mmmm\ d\,\ yyyy"/>
    <numFmt numFmtId="168" formatCode="0_);\(0\)"/>
    <numFmt numFmtId="169" formatCode="[&lt;=9999999]###\-####;\(###\)\ ###\-####"/>
    <numFmt numFmtId="170" formatCode="mm/dd/yy;@"/>
    <numFmt numFmtId="171" formatCode="_(* #,##0.00_);_(* \(#,##0.00\);_(* &quot;-&quot;_);_(@_)"/>
    <numFmt numFmtId="172" formatCode="mmmm\-yy"/>
    <numFmt numFmtId="173" formatCode="m/d;@"/>
    <numFmt numFmtId="174" formatCode="mmm\-yyyy"/>
    <numFmt numFmtId="175" formatCode="[$-409]mmmm\ d\,\ yyyy;@"/>
    <numFmt numFmtId="176" formatCode="#,##0.000"/>
    <numFmt numFmtId="177" formatCode="mmmm\ dd/yyyy\ h:mm"/>
    <numFmt numFmtId="178" formatCode="mmmm\ dd\,yyyy\ h:mm"/>
    <numFmt numFmtId="179" formatCode="mmmm\ dd\,yyyy\ hh:mm"/>
    <numFmt numFmtId="180" formatCode="mmmm\ dd\,yyyy"/>
    <numFmt numFmtId="181" formatCode="0.00000000000"/>
    <numFmt numFmtId="182" formatCode="_-* #,##0.0_-;\-* #,##0.0_-;_-* &quot;-&quot;??_-;_-@_-"/>
    <numFmt numFmtId="183" formatCode="m/d/yy\ h:mm\ AM/PM"/>
    <numFmt numFmtId="184" formatCode="000"/>
    <numFmt numFmtId="185" formatCode="mm/yy"/>
    <numFmt numFmtId="186" formatCode="#,##0.00;\(#,##0.00\)"/>
    <numFmt numFmtId="187" formatCode="&quot;$&quot;#,##0.00;\(&quot;$&quot;#,##0.00\)"/>
    <numFmt numFmtId="188" formatCode="_(* #,##0_);_(* \(#,##0\);_(* &quot;-&quot;??_);_(@_)"/>
    <numFmt numFmtId="189" formatCode="_(* #,##0.0000_);_(* \(#,##0.0000\);_(* &quot;-&quot;??_);_(@_)"/>
    <numFmt numFmtId="190" formatCode="mmm\ yyyy"/>
  </numFmts>
  <fonts count="104">
    <font>
      <sz val="10"/>
      <name val="Arial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i/>
      <u/>
      <sz val="10"/>
      <name val="Arial"/>
      <family val="2"/>
    </font>
    <font>
      <b/>
      <i/>
      <sz val="10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i/>
      <sz val="9"/>
      <name val="Arial"/>
      <family val="2"/>
    </font>
    <font>
      <b/>
      <sz val="9"/>
      <name val="Arial"/>
      <family val="2"/>
    </font>
    <font>
      <i/>
      <sz val="10"/>
      <name val="Arial"/>
      <family val="2"/>
    </font>
    <font>
      <i/>
      <sz val="9"/>
      <name val="Arial"/>
      <family val="2"/>
    </font>
    <font>
      <u/>
      <sz val="10"/>
      <name val="Arial"/>
      <family val="2"/>
    </font>
    <font>
      <sz val="8"/>
      <name val="Times New Roman"/>
      <family val="1"/>
    </font>
    <font>
      <sz val="10"/>
      <name val="Times New Roman"/>
      <family val="1"/>
    </font>
    <font>
      <b/>
      <sz val="16"/>
      <name val="Tms Rmn"/>
    </font>
    <font>
      <sz val="9"/>
      <name val="Times New Roman"/>
      <family val="1"/>
    </font>
    <font>
      <b/>
      <sz val="8"/>
      <name val="Arial"/>
      <family val="2"/>
    </font>
    <font>
      <b/>
      <sz val="12"/>
      <name val="Arial Black"/>
      <family val="2"/>
    </font>
    <font>
      <sz val="10"/>
      <name val="Arial Black"/>
      <family val="2"/>
    </font>
    <font>
      <sz val="8"/>
      <name val="Arial"/>
      <family val="2"/>
    </font>
    <font>
      <sz val="12"/>
      <name val="Arial Black"/>
      <family val="2"/>
    </font>
    <font>
      <b/>
      <sz val="10"/>
      <name val="Arial Black"/>
      <family val="2"/>
    </font>
    <font>
      <sz val="10"/>
      <name val="Book Antiqua"/>
      <family val="1"/>
    </font>
    <font>
      <b/>
      <sz val="10"/>
      <name val="Book Antiqua"/>
      <family val="1"/>
    </font>
    <font>
      <sz val="12"/>
      <name val="Times New Roman"/>
      <family val="1"/>
    </font>
    <font>
      <sz val="12"/>
      <name val="CG Omega"/>
      <family val="2"/>
    </font>
    <font>
      <b/>
      <sz val="14"/>
      <name val="Times New Roman"/>
      <family val="1"/>
    </font>
    <font>
      <sz val="12"/>
      <name val="Book Antiqua"/>
      <family val="1"/>
    </font>
    <font>
      <sz val="14"/>
      <name val="Arial"/>
      <family val="2"/>
    </font>
    <font>
      <b/>
      <sz val="16"/>
      <name val="Arial"/>
      <family val="2"/>
    </font>
    <font>
      <b/>
      <sz val="12"/>
      <name val="Book Antiqua"/>
      <family val="1"/>
    </font>
    <font>
      <b/>
      <sz val="14"/>
      <color indexed="8"/>
      <name val="Arial"/>
      <family val="2"/>
    </font>
    <font>
      <sz val="10"/>
      <color indexed="8"/>
      <name val="Arial"/>
      <family val="2"/>
    </font>
    <font>
      <b/>
      <sz val="14"/>
      <name val="Arial"/>
      <family val="2"/>
    </font>
    <font>
      <b/>
      <sz val="10"/>
      <color indexed="8"/>
      <name val="Arial"/>
      <family val="2"/>
    </font>
    <font>
      <b/>
      <i/>
      <sz val="10"/>
      <color indexed="8"/>
      <name val="Arial"/>
      <family val="2"/>
    </font>
    <font>
      <i/>
      <sz val="10"/>
      <color indexed="8"/>
      <name val="Arial"/>
      <family val="2"/>
    </font>
    <font>
      <sz val="11"/>
      <color indexed="9"/>
      <name val="Calibri"/>
      <family val="2"/>
    </font>
    <font>
      <b/>
      <sz val="18"/>
      <color indexed="62"/>
      <name val="Cambria"/>
      <family val="2"/>
    </font>
    <font>
      <b/>
      <sz val="11"/>
      <color indexed="8"/>
      <name val="Calibri"/>
      <family val="2"/>
    </font>
    <font>
      <sz val="10"/>
      <color indexed="10"/>
      <name val="Arial"/>
      <family val="2"/>
    </font>
    <font>
      <sz val="10"/>
      <name val="Arial"/>
      <family val="2"/>
    </font>
    <font>
      <b/>
      <i/>
      <sz val="10"/>
      <name val="Helv"/>
    </font>
    <font>
      <b/>
      <u/>
      <sz val="8"/>
      <name val="Helv"/>
    </font>
    <font>
      <sz val="10"/>
      <name val="ZapfHumnst BT"/>
      <family val="2"/>
    </font>
    <font>
      <sz val="10"/>
      <name val="MS Sans Serif"/>
      <family val="2"/>
    </font>
    <font>
      <sz val="10"/>
      <name val="MS Serif"/>
      <family val="1"/>
    </font>
    <font>
      <sz val="10"/>
      <color indexed="16"/>
      <name val="MS Serif"/>
      <family val="1"/>
    </font>
    <font>
      <sz val="9"/>
      <name val="Swis721 BT"/>
      <family val="2"/>
    </font>
    <font>
      <sz val="12"/>
      <name val="Arial"/>
      <family val="2"/>
    </font>
    <font>
      <sz val="8"/>
      <name val="Helv"/>
    </font>
    <font>
      <b/>
      <sz val="10"/>
      <color indexed="39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b/>
      <sz val="8"/>
      <color indexed="8"/>
      <name val="Helv"/>
    </font>
    <font>
      <b/>
      <sz val="10"/>
      <color indexed="8"/>
      <name val="Wingdings"/>
      <charset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sz val="8"/>
      <color theme="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0070C0"/>
      <name val="Arial"/>
      <family val="2"/>
    </font>
    <font>
      <b/>
      <i/>
      <sz val="10"/>
      <color rgb="FFFF0000"/>
      <name val="Arial"/>
      <family val="2"/>
    </font>
    <font>
      <b/>
      <i/>
      <sz val="10"/>
      <color rgb="FF00B050"/>
      <name val="Arial"/>
      <family val="2"/>
    </font>
    <font>
      <b/>
      <i/>
      <sz val="10"/>
      <color rgb="FF0070C0"/>
      <name val="Arial"/>
      <family val="2"/>
    </font>
    <font>
      <u/>
      <sz val="10"/>
      <color theme="10"/>
      <name val="Arial"/>
      <family val="2"/>
    </font>
    <font>
      <sz val="8"/>
      <name val="Arial"/>
      <family val="2"/>
    </font>
    <font>
      <b/>
      <i/>
      <sz val="11"/>
      <name val="Arial"/>
      <family val="2"/>
    </font>
    <font>
      <sz val="8"/>
      <name val="Arial"/>
      <family val="2"/>
    </font>
    <font>
      <b/>
      <sz val="11"/>
      <color rgb="FFFA7D00"/>
      <name val="Calibri"/>
      <family val="2"/>
      <scheme val="minor"/>
    </font>
    <font>
      <sz val="12"/>
      <name val="Calibri"/>
      <family val="2"/>
    </font>
    <font>
      <sz val="10"/>
      <color rgb="FF000000"/>
      <name val="Arial"/>
      <family val="2"/>
    </font>
    <font>
      <sz val="8"/>
      <color rgb="FF000000"/>
      <name val="Arial"/>
      <family val="2"/>
    </font>
    <font>
      <sz val="10"/>
      <color rgb="FF3F3F76"/>
      <name val="Calibri"/>
      <family val="2"/>
      <scheme val="minor"/>
    </font>
    <font>
      <b/>
      <sz val="10"/>
      <color rgb="FFFA7D00"/>
      <name val="Calibri"/>
      <family val="2"/>
      <scheme val="minor"/>
    </font>
    <font>
      <sz val="10"/>
      <color theme="0"/>
      <name val="Arial"/>
      <family val="2"/>
    </font>
    <font>
      <sz val="11"/>
      <color rgb="FF000000"/>
      <name val="Calibri"/>
      <family val="2"/>
    </font>
    <font>
      <b/>
      <sz val="8"/>
      <color rgb="FF000000"/>
      <name val="Arial"/>
      <family val="2"/>
    </font>
    <font>
      <b/>
      <sz val="10"/>
      <color theme="1"/>
      <name val="Arial"/>
      <family val="2"/>
    </font>
    <font>
      <sz val="8"/>
      <color rgb="FFFF0000"/>
      <name val="Arial"/>
      <family val="2"/>
    </font>
    <font>
      <sz val="11"/>
      <color rgb="FFFF0000"/>
      <name val="Calibri"/>
      <family val="2"/>
    </font>
    <font>
      <b/>
      <sz val="8"/>
      <color rgb="FFFF0000"/>
      <name val="Arial"/>
      <family val="2"/>
    </font>
    <font>
      <b/>
      <sz val="8"/>
      <color theme="0"/>
      <name val="Arial"/>
      <family val="2"/>
    </font>
    <font>
      <sz val="8"/>
      <color theme="0"/>
      <name val="Arial"/>
      <family val="2"/>
    </font>
    <font>
      <sz val="10"/>
      <name val="Arial"/>
      <family val="2"/>
    </font>
    <font>
      <b/>
      <i/>
      <sz val="8"/>
      <name val="Arial"/>
      <family val="2"/>
    </font>
    <font>
      <b/>
      <sz val="8"/>
      <color rgb="FF242424"/>
      <name val="Calibri"/>
      <family val="2"/>
    </font>
    <font>
      <sz val="8"/>
      <color rgb="FF3F3F76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0070C0"/>
      <name val="Arial"/>
      <family val="2"/>
    </font>
    <font>
      <b/>
      <sz val="8"/>
      <color theme="1"/>
      <name val="Arial"/>
      <family val="2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sz val="8"/>
      <color indexed="8"/>
      <name val="Arial"/>
      <family val="2"/>
    </font>
    <font>
      <sz val="8"/>
      <color theme="1" tint="0.499984740745262"/>
      <name val="Arial"/>
      <family val="2"/>
    </font>
    <font>
      <b/>
      <sz val="8"/>
      <color theme="1" tint="0.499984740745262"/>
      <name val="Arial"/>
      <family val="2"/>
    </font>
    <font>
      <sz val="8"/>
      <name val="Arial"/>
      <family val="2"/>
    </font>
  </fonts>
  <fills count="53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4"/>
        <bgColor indexed="24"/>
      </patternFill>
    </fill>
    <fill>
      <patternFill patternType="solid">
        <fgColor indexed="10"/>
      </patternFill>
    </fill>
    <fill>
      <patternFill patternType="solid">
        <fgColor indexed="15"/>
        <bgColor indexed="15"/>
      </patternFill>
    </fill>
    <fill>
      <patternFill patternType="solid">
        <fgColor indexed="45"/>
        <bgColor indexed="45"/>
      </patternFill>
    </fill>
    <fill>
      <patternFill patternType="solid">
        <fgColor indexed="55"/>
        <bgColor indexed="55"/>
      </patternFill>
    </fill>
    <fill>
      <patternFill patternType="solid">
        <fgColor indexed="57"/>
      </patternFill>
    </fill>
    <fill>
      <patternFill patternType="solid">
        <fgColor indexed="41"/>
        <bgColor indexed="41"/>
      </patternFill>
    </fill>
    <fill>
      <patternFill patternType="solid">
        <fgColor indexed="40"/>
        <bgColor indexed="40"/>
      </patternFill>
    </fill>
    <fill>
      <patternFill patternType="solid">
        <fgColor indexed="22"/>
        <bgColor indexed="22"/>
      </patternFill>
    </fill>
    <fill>
      <patternFill patternType="solid">
        <fgColor indexed="53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4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57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gray0625">
        <fgColor indexed="22"/>
        <bgColor indexed="13"/>
      </patternFill>
    </fill>
    <fill>
      <patternFill patternType="solid">
        <fgColor indexed="40"/>
      </patternFill>
    </fill>
    <fill>
      <patternFill patternType="solid">
        <fgColor indexed="51"/>
      </patternFill>
    </fill>
    <fill>
      <patternFill patternType="solid">
        <fgColor indexed="52"/>
      </patternFill>
    </fill>
    <fill>
      <patternFill patternType="solid">
        <fgColor indexed="50"/>
      </patternFill>
    </fill>
    <fill>
      <patternFill patternType="solid">
        <fgColor indexed="11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</patternFill>
    </fill>
    <fill>
      <patternFill patternType="solid">
        <fgColor indexed="15"/>
      </patternFill>
    </fill>
    <fill>
      <patternFill patternType="solid">
        <fgColor indexed="20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8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2F2F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0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dashed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/>
      <diagonal/>
    </border>
    <border>
      <left style="dashed">
        <color indexed="64"/>
      </left>
      <right style="dashed">
        <color indexed="64"/>
      </right>
      <top style="thin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/>
      <diagonal/>
    </border>
    <border>
      <left style="dashed">
        <color indexed="64"/>
      </left>
      <right style="thin">
        <color indexed="64"/>
      </right>
      <top/>
      <bottom style="thin">
        <color indexed="64"/>
      </bottom>
      <diagonal/>
    </border>
    <border>
      <left style="dashed">
        <color indexed="64"/>
      </left>
      <right style="dashed">
        <color indexed="64"/>
      </right>
      <top/>
      <bottom style="thin">
        <color indexed="64"/>
      </bottom>
      <diagonal/>
    </border>
    <border>
      <left/>
      <right style="dashed">
        <color indexed="64"/>
      </right>
      <top style="thin">
        <color indexed="64"/>
      </top>
      <bottom/>
      <diagonal/>
    </border>
    <border>
      <left/>
      <right style="dashed">
        <color indexed="64"/>
      </right>
      <top/>
      <bottom style="thin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thin">
        <color indexed="64"/>
      </bottom>
      <diagonal/>
    </border>
    <border>
      <left style="dashed">
        <color indexed="64"/>
      </left>
      <right/>
      <top style="thin">
        <color indexed="64"/>
      </top>
      <bottom/>
      <diagonal/>
    </border>
    <border>
      <left style="dashed">
        <color indexed="64"/>
      </left>
      <right/>
      <top/>
      <bottom style="thin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 style="dashed">
        <color indexed="64"/>
      </left>
      <right/>
      <top style="dashed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dashed">
        <color indexed="64"/>
      </left>
      <right/>
      <top style="thin">
        <color indexed="64"/>
      </top>
      <bottom style="dashed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theme="0" tint="-0.24994659260841701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 style="medium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/>
      <top/>
      <bottom style="medium">
        <color theme="0" tint="-0.499984740745262"/>
      </bottom>
      <diagonal/>
    </border>
    <border>
      <left/>
      <right/>
      <top/>
      <bottom style="medium">
        <color theme="0" tint="-0.499984740745262"/>
      </bottom>
      <diagonal/>
    </border>
    <border>
      <left/>
      <right style="medium">
        <color theme="0" tint="-0.499984740745262"/>
      </right>
      <top/>
      <bottom style="medium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/>
      <bottom style="medium">
        <color theme="0" tint="-0.499984740745262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 tint="-0.499984740745262"/>
      </right>
      <top style="medium">
        <color theme="0" tint="-0.499984740745262"/>
      </top>
      <bottom/>
      <diagonal/>
    </border>
    <border>
      <left style="thin">
        <color theme="0" tint="-0.499984740745262"/>
      </left>
      <right/>
      <top style="medium">
        <color theme="0" tint="-0.499984740745262"/>
      </top>
      <bottom style="thin">
        <color theme="0" tint="-0.24994659260841701"/>
      </bottom>
      <diagonal/>
    </border>
    <border>
      <left/>
      <right/>
      <top style="medium">
        <color theme="0" tint="-0.499984740745262"/>
      </top>
      <bottom style="thin">
        <color theme="0" tint="-0.24994659260841701"/>
      </bottom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499984740745262"/>
      </right>
      <top/>
      <bottom style="thin">
        <color theme="0" tint="-0.24994659260841701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 style="thin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/>
      <bottom/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rgb="FF000000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double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92">
    <xf numFmtId="0" fontId="0" fillId="0" borderId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41" fillId="9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41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41" fillId="17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41" fillId="17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41" fillId="8" borderId="0" applyNumberFormat="0" applyBorder="0" applyAlignment="0" applyProtection="0"/>
    <xf numFmtId="0" fontId="2" fillId="19" borderId="0" applyNumberFormat="0" applyBorder="0" applyAlignment="0" applyProtection="0"/>
    <xf numFmtId="0" fontId="2" fillId="12" borderId="0" applyNumberFormat="0" applyBorder="0" applyAlignment="0" applyProtection="0"/>
    <xf numFmtId="0" fontId="41" fillId="20" borderId="0" applyNumberFormat="0" applyBorder="0" applyAlignment="0" applyProtection="0"/>
    <xf numFmtId="37" fontId="46" fillId="0" borderId="0"/>
    <xf numFmtId="37" fontId="47" fillId="0" borderId="0"/>
    <xf numFmtId="37" fontId="47" fillId="0" borderId="0"/>
    <xf numFmtId="176" fontId="45" fillId="0" borderId="0" applyFill="0" applyBorder="0" applyAlignment="0"/>
    <xf numFmtId="176" fontId="3" fillId="0" borderId="0" applyFill="0" applyBorder="0" applyAlignment="0"/>
    <xf numFmtId="176" fontId="45" fillId="0" borderId="0" applyFill="0" applyBorder="0" applyAlignment="0"/>
    <xf numFmtId="176" fontId="3" fillId="0" borderId="0" applyFill="0" applyBorder="0" applyAlignment="0"/>
    <xf numFmtId="177" fontId="48" fillId="0" borderId="0" applyFill="0" applyBorder="0" applyAlignment="0"/>
    <xf numFmtId="178" fontId="48" fillId="0" borderId="0" applyFill="0" applyBorder="0" applyAlignment="0"/>
    <xf numFmtId="179" fontId="48" fillId="0" borderId="0" applyFill="0" applyBorder="0" applyAlignment="0"/>
    <xf numFmtId="176" fontId="45" fillId="0" borderId="0" applyFill="0" applyBorder="0" applyAlignment="0"/>
    <xf numFmtId="176" fontId="3" fillId="0" borderId="0" applyFill="0" applyBorder="0" applyAlignment="0"/>
    <xf numFmtId="180" fontId="48" fillId="0" borderId="0" applyFill="0" applyBorder="0" applyAlignment="0"/>
    <xf numFmtId="176" fontId="45" fillId="0" borderId="0" applyFill="0" applyBorder="0" applyAlignment="0"/>
    <xf numFmtId="176" fontId="3" fillId="0" borderId="0" applyFill="0" applyBorder="0" applyAlignment="0"/>
    <xf numFmtId="43" fontId="3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3" fillId="0" borderId="0" applyFont="0" applyFill="0" applyBorder="0" applyAlignment="0" applyProtection="0"/>
    <xf numFmtId="40" fontId="49" fillId="0" borderId="0"/>
    <xf numFmtId="43" fontId="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50" fillId="0" borderId="0" applyNumberFormat="0" applyAlignment="0">
      <alignment horizontal="left"/>
    </xf>
    <xf numFmtId="44" fontId="3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3" fillId="0" borderId="0" applyFont="0" applyFill="0" applyBorder="0" applyAlignment="0" applyProtection="0"/>
    <xf numFmtId="8" fontId="49" fillId="0" borderId="0"/>
    <xf numFmtId="44" fontId="5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3" fillId="0" borderId="0" applyFont="0" applyFill="0" applyBorder="0" applyAlignment="0" applyProtection="0"/>
    <xf numFmtId="14" fontId="36" fillId="0" borderId="0" applyFill="0" applyBorder="0" applyAlignment="0"/>
    <xf numFmtId="0" fontId="43" fillId="22" borderId="0" applyNumberFormat="0" applyBorder="0" applyAlignment="0" applyProtection="0"/>
    <xf numFmtId="0" fontId="43" fillId="23" borderId="0" applyNumberFormat="0" applyBorder="0" applyAlignment="0" applyProtection="0"/>
    <xf numFmtId="0" fontId="43" fillId="24" borderId="0" applyNumberFormat="0" applyBorder="0" applyAlignment="0" applyProtection="0"/>
    <xf numFmtId="176" fontId="45" fillId="0" borderId="0" applyFill="0" applyBorder="0" applyAlignment="0"/>
    <xf numFmtId="176" fontId="3" fillId="0" borderId="0" applyFill="0" applyBorder="0" applyAlignment="0"/>
    <xf numFmtId="176" fontId="45" fillId="0" borderId="0" applyFill="0" applyBorder="0" applyAlignment="0"/>
    <xf numFmtId="176" fontId="3" fillId="0" borderId="0" applyFill="0" applyBorder="0" applyAlignment="0"/>
    <xf numFmtId="176" fontId="45" fillId="0" borderId="0" applyFill="0" applyBorder="0" applyAlignment="0"/>
    <xf numFmtId="176" fontId="3" fillId="0" borderId="0" applyFill="0" applyBorder="0" applyAlignment="0"/>
    <xf numFmtId="180" fontId="48" fillId="0" borderId="0" applyFill="0" applyBorder="0" applyAlignment="0"/>
    <xf numFmtId="176" fontId="45" fillId="0" borderId="0" applyFill="0" applyBorder="0" applyAlignment="0"/>
    <xf numFmtId="176" fontId="3" fillId="0" borderId="0" applyFill="0" applyBorder="0" applyAlignment="0"/>
    <xf numFmtId="0" fontId="51" fillId="0" borderId="0" applyNumberFormat="0" applyAlignment="0">
      <alignment horizontal="left"/>
    </xf>
    <xf numFmtId="38" fontId="9" fillId="25" borderId="0" applyNumberFormat="0" applyBorder="0" applyAlignment="0" applyProtection="0"/>
    <xf numFmtId="0" fontId="6" fillId="0" borderId="1" applyNumberFormat="0" applyAlignment="0" applyProtection="0">
      <alignment horizontal="left" vertical="center"/>
    </xf>
    <xf numFmtId="0" fontId="6" fillId="0" borderId="2">
      <alignment horizontal="left" vertical="center"/>
    </xf>
    <xf numFmtId="0" fontId="52" fillId="0" borderId="3">
      <alignment horizontal="left"/>
    </xf>
    <xf numFmtId="10" fontId="9" fillId="26" borderId="3" applyNumberFormat="0" applyBorder="0" applyAlignment="0" applyProtection="0"/>
    <xf numFmtId="176" fontId="45" fillId="0" borderId="0" applyFill="0" applyBorder="0" applyAlignment="0"/>
    <xf numFmtId="176" fontId="3" fillId="0" borderId="0" applyFill="0" applyBorder="0" applyAlignment="0"/>
    <xf numFmtId="176" fontId="45" fillId="0" borderId="0" applyFill="0" applyBorder="0" applyAlignment="0"/>
    <xf numFmtId="176" fontId="3" fillId="0" borderId="0" applyFill="0" applyBorder="0" applyAlignment="0"/>
    <xf numFmtId="176" fontId="45" fillId="0" borderId="0" applyFill="0" applyBorder="0" applyAlignment="0"/>
    <xf numFmtId="176" fontId="3" fillId="0" borderId="0" applyFill="0" applyBorder="0" applyAlignment="0"/>
    <xf numFmtId="180" fontId="48" fillId="0" borderId="0" applyFill="0" applyBorder="0" applyAlignment="0"/>
    <xf numFmtId="176" fontId="45" fillId="0" borderId="0" applyFill="0" applyBorder="0" applyAlignment="0"/>
    <xf numFmtId="176" fontId="3" fillId="0" borderId="0" applyFill="0" applyBorder="0" applyAlignment="0"/>
    <xf numFmtId="37" fontId="18" fillId="27" borderId="0" applyNumberFormat="0" applyFont="0" applyBorder="0" applyAlignment="0">
      <alignment horizontal="centerContinuous"/>
      <protection locked="0"/>
    </xf>
    <xf numFmtId="181" fontId="48" fillId="0" borderId="0"/>
    <xf numFmtId="0" fontId="5" fillId="0" borderId="0"/>
    <xf numFmtId="0" fontId="3" fillId="0" borderId="0"/>
    <xf numFmtId="0" fontId="3" fillId="0" borderId="0"/>
    <xf numFmtId="0" fontId="17" fillId="0" borderId="0"/>
    <xf numFmtId="0" fontId="61" fillId="0" borderId="0"/>
    <xf numFmtId="0" fontId="61" fillId="0" borderId="0"/>
    <xf numFmtId="0" fontId="3" fillId="0" borderId="0"/>
    <xf numFmtId="0" fontId="3" fillId="0" borderId="0"/>
    <xf numFmtId="0" fontId="17" fillId="0" borderId="0"/>
    <xf numFmtId="0" fontId="3" fillId="0" borderId="0"/>
    <xf numFmtId="0" fontId="53" fillId="0" borderId="0"/>
    <xf numFmtId="3" fontId="3" fillId="0" borderId="0"/>
    <xf numFmtId="0" fontId="61" fillId="0" borderId="0"/>
    <xf numFmtId="0" fontId="3" fillId="0" borderId="0"/>
    <xf numFmtId="9" fontId="3" fillId="0" borderId="0" applyFont="0" applyFill="0" applyBorder="0" applyAlignment="0" applyProtection="0"/>
    <xf numFmtId="179" fontId="48" fillId="0" borderId="0" applyFont="0" applyFill="0" applyBorder="0" applyAlignment="0" applyProtection="0"/>
    <xf numFmtId="182" fontId="45" fillId="0" borderId="0" applyFont="0" applyFill="0" applyBorder="0" applyAlignment="0" applyProtection="0"/>
    <xf numFmtId="182" fontId="3" fillId="0" borderId="0" applyFont="0" applyFill="0" applyBorder="0" applyAlignment="0" applyProtection="0"/>
    <xf numFmtId="10" fontId="49" fillId="0" borderId="0"/>
    <xf numFmtId="9" fontId="17" fillId="0" borderId="0" applyFont="0" applyFill="0" applyBorder="0" applyAlignment="0" applyProtection="0"/>
    <xf numFmtId="176" fontId="45" fillId="0" borderId="0" applyFill="0" applyBorder="0" applyAlignment="0"/>
    <xf numFmtId="176" fontId="3" fillId="0" borderId="0" applyFill="0" applyBorder="0" applyAlignment="0"/>
    <xf numFmtId="176" fontId="45" fillId="0" borderId="0" applyFill="0" applyBorder="0" applyAlignment="0"/>
    <xf numFmtId="176" fontId="3" fillId="0" borderId="0" applyFill="0" applyBorder="0" applyAlignment="0"/>
    <xf numFmtId="176" fontId="45" fillId="0" borderId="0" applyFill="0" applyBorder="0" applyAlignment="0"/>
    <xf numFmtId="176" fontId="3" fillId="0" borderId="0" applyFill="0" applyBorder="0" applyAlignment="0"/>
    <xf numFmtId="180" fontId="48" fillId="0" borderId="0" applyFill="0" applyBorder="0" applyAlignment="0"/>
    <xf numFmtId="176" fontId="45" fillId="0" borderId="0" applyFill="0" applyBorder="0" applyAlignment="0"/>
    <xf numFmtId="176" fontId="3" fillId="0" borderId="0" applyFill="0" applyBorder="0" applyAlignment="0"/>
    <xf numFmtId="166" fontId="54" fillId="0" borderId="0" applyNumberFormat="0" applyFill="0" applyBorder="0" applyAlignment="0" applyProtection="0">
      <alignment horizontal="left"/>
    </xf>
    <xf numFmtId="4" fontId="38" fillId="5" borderId="4" applyNumberFormat="0" applyProtection="0">
      <alignment vertical="center"/>
    </xf>
    <xf numFmtId="4" fontId="55" fillId="5" borderId="4" applyNumberFormat="0" applyProtection="0">
      <alignment vertical="center"/>
    </xf>
    <xf numFmtId="4" fontId="38" fillId="5" borderId="4" applyNumberFormat="0" applyProtection="0">
      <alignment horizontal="left" vertical="center" indent="1"/>
    </xf>
    <xf numFmtId="0" fontId="38" fillId="5" borderId="4" applyNumberFormat="0" applyProtection="0">
      <alignment horizontal="left" vertical="top" indent="1"/>
    </xf>
    <xf numFmtId="4" fontId="38" fillId="28" borderId="0" applyNumberFormat="0" applyProtection="0">
      <alignment horizontal="left" vertical="center" indent="1"/>
    </xf>
    <xf numFmtId="4" fontId="36" fillId="21" borderId="4" applyNumberFormat="0" applyProtection="0">
      <alignment horizontal="right" vertical="center"/>
    </xf>
    <xf numFmtId="4" fontId="36" fillId="4" borderId="4" applyNumberFormat="0" applyProtection="0">
      <alignment horizontal="right" vertical="center"/>
    </xf>
    <xf numFmtId="4" fontId="36" fillId="10" borderId="4" applyNumberFormat="0" applyProtection="0">
      <alignment horizontal="right" vertical="center"/>
    </xf>
    <xf numFmtId="4" fontId="36" fillId="29" borderId="4" applyNumberFormat="0" applyProtection="0">
      <alignment horizontal="right" vertical="center"/>
    </xf>
    <xf numFmtId="4" fontId="36" fillId="30" borderId="4" applyNumberFormat="0" applyProtection="0">
      <alignment horizontal="right" vertical="center"/>
    </xf>
    <xf numFmtId="4" fontId="36" fillId="18" borderId="4" applyNumberFormat="0" applyProtection="0">
      <alignment horizontal="right" vertical="center"/>
    </xf>
    <xf numFmtId="4" fontId="36" fillId="14" borderId="4" applyNumberFormat="0" applyProtection="0">
      <alignment horizontal="right" vertical="center"/>
    </xf>
    <xf numFmtId="4" fontId="36" fillId="31" borderId="4" applyNumberFormat="0" applyProtection="0">
      <alignment horizontal="right" vertical="center"/>
    </xf>
    <xf numFmtId="4" fontId="36" fillId="32" borderId="4" applyNumberFormat="0" applyProtection="0">
      <alignment horizontal="right" vertical="center"/>
    </xf>
    <xf numFmtId="4" fontId="38" fillId="33" borderId="5" applyNumberFormat="0" applyProtection="0">
      <alignment horizontal="left" vertical="center" indent="1"/>
    </xf>
    <xf numFmtId="4" fontId="36" fillId="34" borderId="0" applyNumberFormat="0" applyProtection="0">
      <alignment horizontal="left" vertical="center" indent="1"/>
    </xf>
    <xf numFmtId="4" fontId="56" fillId="35" borderId="0" applyNumberFormat="0" applyProtection="0">
      <alignment horizontal="left" vertical="center" indent="1"/>
    </xf>
    <xf numFmtId="4" fontId="36" fillId="28" borderId="4" applyNumberFormat="0" applyProtection="0">
      <alignment horizontal="right" vertical="center"/>
    </xf>
    <xf numFmtId="4" fontId="36" fillId="34" borderId="0" applyNumberFormat="0" applyProtection="0">
      <alignment horizontal="left" vertical="center" indent="1"/>
    </xf>
    <xf numFmtId="4" fontId="36" fillId="28" borderId="0" applyNumberFormat="0" applyProtection="0">
      <alignment horizontal="left" vertical="center" indent="1"/>
    </xf>
    <xf numFmtId="0" fontId="45" fillId="35" borderId="4" applyNumberFormat="0" applyProtection="0">
      <alignment horizontal="left" vertical="center" indent="1"/>
    </xf>
    <xf numFmtId="0" fontId="3" fillId="35" borderId="4" applyNumberFormat="0" applyProtection="0">
      <alignment horizontal="left" vertical="center" indent="1"/>
    </xf>
    <xf numFmtId="0" fontId="45" fillId="35" borderId="4" applyNumberFormat="0" applyProtection="0">
      <alignment horizontal="left" vertical="top" indent="1"/>
    </xf>
    <xf numFmtId="0" fontId="3" fillId="35" borderId="4" applyNumberFormat="0" applyProtection="0">
      <alignment horizontal="left" vertical="top" indent="1"/>
    </xf>
    <xf numFmtId="0" fontId="45" fillId="28" borderId="4" applyNumberFormat="0" applyProtection="0">
      <alignment horizontal="left" vertical="center" indent="1"/>
    </xf>
    <xf numFmtId="0" fontId="3" fillId="28" borderId="4" applyNumberFormat="0" applyProtection="0">
      <alignment horizontal="left" vertical="center" indent="1"/>
    </xf>
    <xf numFmtId="0" fontId="45" fillId="28" borderId="4" applyNumberFormat="0" applyProtection="0">
      <alignment horizontal="left" vertical="top" indent="1"/>
    </xf>
    <xf numFmtId="0" fontId="3" fillId="28" borderId="4" applyNumberFormat="0" applyProtection="0">
      <alignment horizontal="left" vertical="top" indent="1"/>
    </xf>
    <xf numFmtId="0" fontId="45" fillId="6" borderId="4" applyNumberFormat="0" applyProtection="0">
      <alignment horizontal="left" vertical="center" indent="1"/>
    </xf>
    <xf numFmtId="0" fontId="3" fillId="6" borderId="4" applyNumberFormat="0" applyProtection="0">
      <alignment horizontal="left" vertical="center" indent="1"/>
    </xf>
    <xf numFmtId="0" fontId="45" fillId="6" borderId="4" applyNumberFormat="0" applyProtection="0">
      <alignment horizontal="left" vertical="top" indent="1"/>
    </xf>
    <xf numFmtId="0" fontId="3" fillId="6" borderId="4" applyNumberFormat="0" applyProtection="0">
      <alignment horizontal="left" vertical="top" indent="1"/>
    </xf>
    <xf numFmtId="0" fontId="45" fillId="34" borderId="4" applyNumberFormat="0" applyProtection="0">
      <alignment horizontal="left" vertical="center" indent="1"/>
    </xf>
    <xf numFmtId="0" fontId="3" fillId="34" borderId="4" applyNumberFormat="0" applyProtection="0">
      <alignment horizontal="left" vertical="center" indent="1"/>
    </xf>
    <xf numFmtId="0" fontId="45" fillId="34" borderId="4" applyNumberFormat="0" applyProtection="0">
      <alignment horizontal="left" vertical="top" indent="1"/>
    </xf>
    <xf numFmtId="0" fontId="3" fillId="34" borderId="4" applyNumberFormat="0" applyProtection="0">
      <alignment horizontal="left" vertical="top" indent="1"/>
    </xf>
    <xf numFmtId="0" fontId="45" fillId="2" borderId="3" applyNumberFormat="0">
      <protection locked="0"/>
    </xf>
    <xf numFmtId="0" fontId="3" fillId="2" borderId="3" applyNumberFormat="0">
      <protection locked="0"/>
    </xf>
    <xf numFmtId="0" fontId="20" fillId="35" borderId="6" applyBorder="0"/>
    <xf numFmtId="4" fontId="36" fillId="3" borderId="4" applyNumberFormat="0" applyProtection="0">
      <alignment vertical="center"/>
    </xf>
    <xf numFmtId="4" fontId="57" fillId="3" borderId="4" applyNumberFormat="0" applyProtection="0">
      <alignment vertical="center"/>
    </xf>
    <xf numFmtId="4" fontId="36" fillId="3" borderId="4" applyNumberFormat="0" applyProtection="0">
      <alignment horizontal="left" vertical="center" indent="1"/>
    </xf>
    <xf numFmtId="0" fontId="36" fillId="3" borderId="4" applyNumberFormat="0" applyProtection="0">
      <alignment horizontal="left" vertical="top" indent="1"/>
    </xf>
    <xf numFmtId="4" fontId="36" fillId="34" borderId="4" applyNumberFormat="0" applyProtection="0">
      <alignment horizontal="right" vertical="center"/>
    </xf>
    <xf numFmtId="4" fontId="57" fillId="34" borderId="4" applyNumberFormat="0" applyProtection="0">
      <alignment horizontal="right" vertical="center"/>
    </xf>
    <xf numFmtId="4" fontId="36" fillId="28" borderId="4" applyNumberFormat="0" applyProtection="0">
      <alignment horizontal="left" vertical="center" indent="1"/>
    </xf>
    <xf numFmtId="0" fontId="36" fillId="28" borderId="4" applyNumberFormat="0" applyProtection="0">
      <alignment horizontal="left" vertical="top" indent="1"/>
    </xf>
    <xf numFmtId="4" fontId="58" fillId="36" borderId="0" applyNumberFormat="0" applyProtection="0">
      <alignment horizontal="left" vertical="center" indent="1"/>
    </xf>
    <xf numFmtId="0" fontId="9" fillId="37" borderId="3"/>
    <xf numFmtId="4" fontId="44" fillId="34" borderId="4" applyNumberFormat="0" applyProtection="0">
      <alignment horizontal="right" vertical="center"/>
    </xf>
    <xf numFmtId="0" fontId="42" fillId="0" borderId="0" applyNumberFormat="0" applyFill="0" applyBorder="0" applyAlignment="0" applyProtection="0"/>
    <xf numFmtId="0" fontId="45" fillId="0" borderId="0"/>
    <xf numFmtId="0" fontId="3" fillId="0" borderId="0"/>
    <xf numFmtId="40" fontId="59" fillId="0" borderId="0" applyBorder="0">
      <alignment horizontal="right"/>
    </xf>
    <xf numFmtId="49" fontId="36" fillId="0" borderId="0" applyFill="0" applyBorder="0" applyAlignment="0"/>
    <xf numFmtId="183" fontId="48" fillId="0" borderId="0" applyFill="0" applyBorder="0" applyAlignment="0"/>
    <xf numFmtId="184" fontId="48" fillId="0" borderId="0" applyFill="0" applyBorder="0" applyAlignment="0"/>
    <xf numFmtId="0" fontId="72" fillId="0" borderId="0" applyNumberFormat="0" applyFill="0" applyBorder="0" applyAlignment="0" applyProtection="0"/>
    <xf numFmtId="0" fontId="76" fillId="50" borderId="98" applyNumberFormat="0" applyAlignment="0" applyProtection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  <xf numFmtId="0" fontId="83" fillId="0" borderId="0" applyBorder="0"/>
  </cellStyleXfs>
  <cellXfs count="1262">
    <xf numFmtId="0" fontId="0" fillId="0" borderId="0" xfId="0"/>
    <xf numFmtId="0" fontId="4" fillId="0" borderId="0" xfId="0" applyFont="1"/>
    <xf numFmtId="0" fontId="0" fillId="0" borderId="7" xfId="0" applyBorder="1"/>
    <xf numFmtId="0" fontId="0" fillId="0" borderId="2" xfId="0" applyBorder="1"/>
    <xf numFmtId="42" fontId="0" fillId="0" borderId="7" xfId="0" applyNumberFormat="1" applyBorder="1"/>
    <xf numFmtId="0" fontId="0" fillId="0" borderId="0" xfId="0" applyAlignment="1">
      <alignment horizontal="center"/>
    </xf>
    <xf numFmtId="0" fontId="7" fillId="0" borderId="0" xfId="0" applyFont="1"/>
    <xf numFmtId="0" fontId="8" fillId="0" borderId="7" xfId="0" applyFont="1" applyBorder="1"/>
    <xf numFmtId="0" fontId="5" fillId="0" borderId="0" xfId="0" applyFont="1"/>
    <xf numFmtId="0" fontId="0" fillId="0" borderId="0" xfId="0" applyAlignment="1">
      <alignment horizontal="right"/>
    </xf>
    <xf numFmtId="0" fontId="0" fillId="0" borderId="3" xfId="0" applyBorder="1"/>
    <xf numFmtId="0" fontId="11" fillId="0" borderId="8" xfId="0" applyFont="1" applyBorder="1" applyAlignment="1">
      <alignment horizontal="center" wrapText="1"/>
    </xf>
    <xf numFmtId="0" fontId="11" fillId="0" borderId="8" xfId="0" applyFont="1" applyBorder="1" applyAlignment="1">
      <alignment horizontal="center"/>
    </xf>
    <xf numFmtId="0" fontId="0" fillId="0" borderId="9" xfId="0" applyBorder="1"/>
    <xf numFmtId="0" fontId="8" fillId="0" borderId="8" xfId="0" applyFont="1" applyBorder="1" applyAlignment="1">
      <alignment horizontal="center"/>
    </xf>
    <xf numFmtId="0" fontId="8" fillId="0" borderId="8" xfId="0" applyFont="1" applyBorder="1" applyAlignment="1">
      <alignment horizontal="center" wrapText="1"/>
    </xf>
    <xf numFmtId="0" fontId="0" fillId="0" borderId="10" xfId="0" applyBorder="1"/>
    <xf numFmtId="0" fontId="12" fillId="0" borderId="0" xfId="0" applyFont="1"/>
    <xf numFmtId="0" fontId="13" fillId="0" borderId="0" xfId="0" applyFont="1" applyAlignment="1">
      <alignment horizontal="right"/>
    </xf>
    <xf numFmtId="0" fontId="9" fillId="0" borderId="0" xfId="0" applyFont="1"/>
    <xf numFmtId="0" fontId="11" fillId="0" borderId="8" xfId="0" applyFont="1" applyBorder="1" applyAlignment="1">
      <alignment horizontal="left" wrapText="1"/>
    </xf>
    <xf numFmtId="0" fontId="10" fillId="0" borderId="10" xfId="0" applyFont="1" applyBorder="1"/>
    <xf numFmtId="0" fontId="10" fillId="0" borderId="3" xfId="0" applyFont="1" applyBorder="1"/>
    <xf numFmtId="0" fontId="12" fillId="0" borderId="0" xfId="0" applyFont="1" applyAlignment="1">
      <alignment horizontal="left"/>
    </xf>
    <xf numFmtId="0" fontId="10" fillId="0" borderId="10" xfId="0" applyFont="1" applyBorder="1" applyAlignment="1">
      <alignment horizontal="left"/>
    </xf>
    <xf numFmtId="0" fontId="8" fillId="0" borderId="7" xfId="0" applyFont="1" applyBorder="1" applyAlignment="1">
      <alignment horizontal="center"/>
    </xf>
    <xf numFmtId="5" fontId="0" fillId="0" borderId="0" xfId="0" applyNumberFormat="1"/>
    <xf numFmtId="5" fontId="4" fillId="25" borderId="11" xfId="0" applyNumberFormat="1" applyFont="1" applyFill="1" applyBorder="1"/>
    <xf numFmtId="5" fontId="4" fillId="25" borderId="12" xfId="0" applyNumberFormat="1" applyFont="1" applyFill="1" applyBorder="1"/>
    <xf numFmtId="14" fontId="0" fillId="0" borderId="3" xfId="0" applyNumberFormat="1" applyBorder="1" applyAlignment="1">
      <alignment horizontal="center"/>
    </xf>
    <xf numFmtId="5" fontId="10" fillId="0" borderId="3" xfId="0" applyNumberFormat="1" applyFont="1" applyBorder="1"/>
    <xf numFmtId="14" fontId="10" fillId="0" borderId="3" xfId="0" applyNumberFormat="1" applyFont="1" applyBorder="1" applyAlignment="1">
      <alignment horizontal="center"/>
    </xf>
    <xf numFmtId="5" fontId="0" fillId="0" borderId="10" xfId="0" applyNumberFormat="1" applyBorder="1"/>
    <xf numFmtId="5" fontId="0" fillId="0" borderId="3" xfId="0" applyNumberFormat="1" applyBorder="1"/>
    <xf numFmtId="0" fontId="10" fillId="0" borderId="13" xfId="0" applyFont="1" applyBorder="1"/>
    <xf numFmtId="5" fontId="0" fillId="0" borderId="13" xfId="0" applyNumberFormat="1" applyBorder="1"/>
    <xf numFmtId="14" fontId="10" fillId="0" borderId="10" xfId="0" applyNumberFormat="1" applyFont="1" applyBorder="1"/>
    <xf numFmtId="14" fontId="10" fillId="0" borderId="3" xfId="0" applyNumberFormat="1" applyFont="1" applyBorder="1"/>
    <xf numFmtId="14" fontId="10" fillId="0" borderId="13" xfId="0" applyNumberFormat="1" applyFont="1" applyBorder="1"/>
    <xf numFmtId="0" fontId="4" fillId="25" borderId="12" xfId="0" applyFont="1" applyFill="1" applyBorder="1"/>
    <xf numFmtId="5" fontId="10" fillId="0" borderId="10" xfId="0" applyNumberFormat="1" applyFont="1" applyBorder="1"/>
    <xf numFmtId="5" fontId="10" fillId="0" borderId="13" xfId="0" applyNumberFormat="1" applyFont="1" applyBorder="1"/>
    <xf numFmtId="5" fontId="0" fillId="0" borderId="14" xfId="0" applyNumberFormat="1" applyBorder="1"/>
    <xf numFmtId="0" fontId="10" fillId="0" borderId="14" xfId="0" applyFont="1" applyBorder="1"/>
    <xf numFmtId="0" fontId="8" fillId="0" borderId="0" xfId="0" applyFont="1" applyAlignment="1">
      <alignment horizontal="center"/>
    </xf>
    <xf numFmtId="14" fontId="14" fillId="0" borderId="10" xfId="0" applyNumberFormat="1" applyFont="1" applyBorder="1" applyAlignment="1">
      <alignment horizontal="center" wrapText="1"/>
    </xf>
    <xf numFmtId="14" fontId="10" fillId="0" borderId="10" xfId="0" applyNumberFormat="1" applyFont="1" applyBorder="1" applyAlignment="1">
      <alignment horizontal="center"/>
    </xf>
    <xf numFmtId="14" fontId="10" fillId="0" borderId="13" xfId="0" applyNumberFormat="1" applyFont="1" applyBorder="1" applyAlignment="1">
      <alignment horizontal="center"/>
    </xf>
    <xf numFmtId="0" fontId="0" fillId="0" borderId="15" xfId="0" applyBorder="1"/>
    <xf numFmtId="3" fontId="10" fillId="0" borderId="3" xfId="0" applyNumberFormat="1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13" xfId="0" applyFont="1" applyBorder="1" applyAlignment="1">
      <alignment horizontal="left"/>
    </xf>
    <xf numFmtId="5" fontId="10" fillId="0" borderId="10" xfId="0" applyNumberFormat="1" applyFont="1" applyBorder="1" applyAlignment="1">
      <alignment horizontal="right"/>
    </xf>
    <xf numFmtId="5" fontId="10" fillId="0" borderId="3" xfId="0" applyNumberFormat="1" applyFont="1" applyBorder="1" applyAlignment="1">
      <alignment horizontal="right"/>
    </xf>
    <xf numFmtId="5" fontId="10" fillId="0" borderId="13" xfId="0" applyNumberFormat="1" applyFont="1" applyBorder="1" applyAlignment="1">
      <alignment horizontal="right"/>
    </xf>
    <xf numFmtId="14" fontId="0" fillId="0" borderId="10" xfId="0" applyNumberFormat="1" applyBorder="1" applyAlignment="1">
      <alignment horizontal="center"/>
    </xf>
    <xf numFmtId="14" fontId="0" fillId="0" borderId="13" xfId="0" applyNumberFormat="1" applyBorder="1" applyAlignment="1">
      <alignment horizontal="center"/>
    </xf>
    <xf numFmtId="14" fontId="4" fillId="25" borderId="12" xfId="0" applyNumberFormat="1" applyFont="1" applyFill="1" applyBorder="1"/>
    <xf numFmtId="0" fontId="0" fillId="25" borderId="12" xfId="0" applyFill="1" applyBorder="1" applyAlignment="1">
      <alignment horizontal="center"/>
    </xf>
    <xf numFmtId="0" fontId="8" fillId="0" borderId="8" xfId="0" applyFont="1" applyBorder="1"/>
    <xf numFmtId="0" fontId="0" fillId="0" borderId="8" xfId="0" applyBorder="1"/>
    <xf numFmtId="0" fontId="8" fillId="0" borderId="7" xfId="0" applyFont="1" applyBorder="1" applyAlignment="1">
      <alignment horizontal="center" wrapText="1"/>
    </xf>
    <xf numFmtId="5" fontId="0" fillId="0" borderId="7" xfId="0" applyNumberFormat="1" applyBorder="1"/>
    <xf numFmtId="5" fontId="0" fillId="0" borderId="2" xfId="0" applyNumberFormat="1" applyBorder="1"/>
    <xf numFmtId="0" fontId="15" fillId="0" borderId="0" xfId="0" applyFont="1" applyAlignment="1">
      <alignment horizontal="center"/>
    </xf>
    <xf numFmtId="0" fontId="15" fillId="0" borderId="0" xfId="0" applyFont="1" applyAlignment="1">
      <alignment horizontal="left"/>
    </xf>
    <xf numFmtId="0" fontId="8" fillId="0" borderId="0" xfId="0" applyFont="1"/>
    <xf numFmtId="0" fontId="0" fillId="0" borderId="16" xfId="0" applyBorder="1"/>
    <xf numFmtId="0" fontId="0" fillId="0" borderId="17" xfId="0" applyBorder="1"/>
    <xf numFmtId="0" fontId="4" fillId="25" borderId="11" xfId="0" applyFont="1" applyFill="1" applyBorder="1"/>
    <xf numFmtId="0" fontId="0" fillId="0" borderId="18" xfId="0" applyBorder="1"/>
    <xf numFmtId="42" fontId="0" fillId="25" borderId="11" xfId="0" applyNumberFormat="1" applyFill="1" applyBorder="1" applyAlignment="1">
      <alignment horizontal="left"/>
    </xf>
    <xf numFmtId="0" fontId="17" fillId="0" borderId="19" xfId="0" applyFont="1" applyBorder="1" applyAlignment="1">
      <alignment horizontal="center"/>
    </xf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17" fillId="0" borderId="23" xfId="0" applyFont="1" applyBorder="1" applyAlignment="1">
      <alignment horizontal="center"/>
    </xf>
    <xf numFmtId="0" fontId="17" fillId="0" borderId="24" xfId="0" applyFont="1" applyBorder="1" applyAlignment="1">
      <alignment horizontal="center"/>
    </xf>
    <xf numFmtId="0" fontId="17" fillId="0" borderId="25" xfId="0" applyFont="1" applyBorder="1" applyAlignment="1">
      <alignment horizontal="center"/>
    </xf>
    <xf numFmtId="0" fontId="0" fillId="0" borderId="26" xfId="0" applyBorder="1"/>
    <xf numFmtId="0" fontId="0" fillId="0" borderId="25" xfId="0" applyBorder="1"/>
    <xf numFmtId="0" fontId="0" fillId="0" borderId="27" xfId="0" applyBorder="1"/>
    <xf numFmtId="0" fontId="0" fillId="0" borderId="28" xfId="0" applyBorder="1"/>
    <xf numFmtId="0" fontId="17" fillId="0" borderId="29" xfId="0" applyFont="1" applyBorder="1" applyAlignment="1">
      <alignment horizontal="center"/>
    </xf>
    <xf numFmtId="0" fontId="17" fillId="0" borderId="30" xfId="0" applyFont="1" applyBorder="1" applyAlignment="1">
      <alignment horizontal="center"/>
    </xf>
    <xf numFmtId="0" fontId="17" fillId="0" borderId="31" xfId="0" applyFont="1" applyBorder="1" applyAlignment="1">
      <alignment horizontal="center"/>
    </xf>
    <xf numFmtId="0" fontId="0" fillId="0" borderId="24" xfId="0" applyBorder="1"/>
    <xf numFmtId="0" fontId="17" fillId="0" borderId="32" xfId="0" applyFont="1" applyBorder="1" applyAlignment="1">
      <alignment horizontal="center"/>
    </xf>
    <xf numFmtId="0" fontId="17" fillId="0" borderId="33" xfId="0" applyFont="1" applyBorder="1" applyAlignment="1">
      <alignment horizontal="center"/>
    </xf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17" fillId="0" borderId="37" xfId="0" applyFont="1" applyBorder="1" applyAlignment="1">
      <alignment horizontal="center"/>
    </xf>
    <xf numFmtId="0" fontId="0" fillId="0" borderId="38" xfId="0" applyBorder="1"/>
    <xf numFmtId="0" fontId="0" fillId="0" borderId="39" xfId="0" applyBorder="1"/>
    <xf numFmtId="0" fontId="16" fillId="0" borderId="0" xfId="0" applyFont="1" applyAlignment="1">
      <alignment horizontal="left"/>
    </xf>
    <xf numFmtId="0" fontId="16" fillId="0" borderId="0" xfId="0" applyFont="1" applyAlignment="1">
      <alignment horizontal="right"/>
    </xf>
    <xf numFmtId="0" fontId="9" fillId="0" borderId="0" xfId="0" applyFont="1" applyAlignment="1">
      <alignment horizontal="left"/>
    </xf>
    <xf numFmtId="0" fontId="9" fillId="0" borderId="7" xfId="0" applyFont="1" applyBorder="1" applyAlignment="1">
      <alignment horizontal="left"/>
    </xf>
    <xf numFmtId="0" fontId="19" fillId="0" borderId="7" xfId="0" applyFont="1" applyBorder="1" applyAlignment="1">
      <alignment horizontal="left"/>
    </xf>
    <xf numFmtId="0" fontId="21" fillId="0" borderId="0" xfId="0" applyFont="1"/>
    <xf numFmtId="0" fontId="22" fillId="0" borderId="0" xfId="0" applyFont="1"/>
    <xf numFmtId="0" fontId="22" fillId="0" borderId="0" xfId="0" applyFont="1" applyAlignment="1">
      <alignment horizontal="center"/>
    </xf>
    <xf numFmtId="0" fontId="0" fillId="0" borderId="40" xfId="0" applyBorder="1"/>
    <xf numFmtId="0" fontId="16" fillId="0" borderId="7" xfId="0" applyFont="1" applyBorder="1" applyAlignment="1">
      <alignment horizontal="left"/>
    </xf>
    <xf numFmtId="0" fontId="16" fillId="0" borderId="7" xfId="0" applyFont="1" applyBorder="1" applyAlignment="1">
      <alignment horizontal="right"/>
    </xf>
    <xf numFmtId="0" fontId="0" fillId="0" borderId="7" xfId="0" applyBorder="1" applyAlignment="1">
      <alignment horizontal="center"/>
    </xf>
    <xf numFmtId="0" fontId="21" fillId="0" borderId="0" xfId="0" applyFont="1" applyAlignment="1">
      <alignment horizontal="right"/>
    </xf>
    <xf numFmtId="0" fontId="24" fillId="0" borderId="0" xfId="0" applyFont="1"/>
    <xf numFmtId="0" fontId="10" fillId="0" borderId="41" xfId="0" applyFont="1" applyBorder="1"/>
    <xf numFmtId="0" fontId="10" fillId="0" borderId="42" xfId="0" applyFont="1" applyBorder="1"/>
    <xf numFmtId="0" fontId="14" fillId="0" borderId="41" xfId="0" applyFont="1" applyBorder="1" applyAlignment="1">
      <alignment wrapText="1"/>
    </xf>
    <xf numFmtId="0" fontId="4" fillId="25" borderId="43" xfId="0" applyFont="1" applyFill="1" applyBorder="1"/>
    <xf numFmtId="0" fontId="10" fillId="0" borderId="41" xfId="0" applyFont="1" applyBorder="1" applyAlignment="1">
      <alignment horizontal="left"/>
    </xf>
    <xf numFmtId="0" fontId="10" fillId="0" borderId="42" xfId="0" applyFont="1" applyBorder="1" applyAlignment="1">
      <alignment horizontal="left"/>
    </xf>
    <xf numFmtId="0" fontId="0" fillId="0" borderId="44" xfId="0" applyBorder="1" applyAlignment="1">
      <alignment horizontal="left"/>
    </xf>
    <xf numFmtId="0" fontId="0" fillId="0" borderId="42" xfId="0" applyBorder="1"/>
    <xf numFmtId="0" fontId="13" fillId="0" borderId="41" xfId="0" applyFont="1" applyBorder="1" applyAlignment="1">
      <alignment horizontal="left"/>
    </xf>
    <xf numFmtId="0" fontId="13" fillId="0" borderId="42" xfId="0" applyFont="1" applyBorder="1" applyAlignment="1">
      <alignment horizontal="left"/>
    </xf>
    <xf numFmtId="0" fontId="8" fillId="0" borderId="0" xfId="0" applyFont="1" applyAlignment="1">
      <alignment horizontal="center" wrapText="1"/>
    </xf>
    <xf numFmtId="0" fontId="10" fillId="0" borderId="45" xfId="0" applyFont="1" applyBorder="1"/>
    <xf numFmtId="0" fontId="10" fillId="0" borderId="40" xfId="0" applyFont="1" applyBorder="1"/>
    <xf numFmtId="0" fontId="10" fillId="0" borderId="21" xfId="0" applyFont="1" applyBorder="1"/>
    <xf numFmtId="0" fontId="20" fillId="25" borderId="14" xfId="0" applyFont="1" applyFill="1" applyBorder="1"/>
    <xf numFmtId="0" fontId="25" fillId="0" borderId="0" xfId="0" applyFont="1"/>
    <xf numFmtId="9" fontId="10" fillId="0" borderId="3" xfId="0" applyNumberFormat="1" applyFont="1" applyBorder="1" applyAlignment="1">
      <alignment horizontal="center"/>
    </xf>
    <xf numFmtId="3" fontId="10" fillId="0" borderId="3" xfId="0" applyNumberFormat="1" applyFont="1" applyBorder="1"/>
    <xf numFmtId="3" fontId="10" fillId="0" borderId="13" xfId="0" applyNumberFormat="1" applyFont="1" applyBorder="1"/>
    <xf numFmtId="3" fontId="0" fillId="25" borderId="12" xfId="0" applyNumberFormat="1" applyFill="1" applyBorder="1"/>
    <xf numFmtId="0" fontId="8" fillId="0" borderId="2" xfId="0" applyFont="1" applyBorder="1" applyAlignment="1">
      <alignment horizontal="center"/>
    </xf>
    <xf numFmtId="0" fontId="8" fillId="0" borderId="16" xfId="0" applyFont="1" applyBorder="1" applyAlignment="1">
      <alignment horizontal="center" wrapText="1"/>
    </xf>
    <xf numFmtId="0" fontId="8" fillId="0" borderId="3" xfId="0" applyFont="1" applyBorder="1" applyAlignment="1">
      <alignment horizontal="center" wrapText="1"/>
    </xf>
    <xf numFmtId="5" fontId="0" fillId="0" borderId="0" xfId="0" applyNumberFormat="1" applyAlignment="1">
      <alignment horizontal="center"/>
    </xf>
    <xf numFmtId="5" fontId="4" fillId="25" borderId="46" xfId="0" applyNumberFormat="1" applyFont="1" applyFill="1" applyBorder="1"/>
    <xf numFmtId="0" fontId="4" fillId="25" borderId="46" xfId="0" applyFont="1" applyFill="1" applyBorder="1" applyAlignment="1">
      <alignment horizontal="center"/>
    </xf>
    <xf numFmtId="164" fontId="10" fillId="0" borderId="3" xfId="0" applyNumberFormat="1" applyFont="1" applyBorder="1" applyAlignment="1">
      <alignment horizontal="center"/>
    </xf>
    <xf numFmtId="164" fontId="10" fillId="0" borderId="3" xfId="0" applyNumberFormat="1" applyFont="1" applyBorder="1"/>
    <xf numFmtId="0" fontId="20" fillId="25" borderId="42" xfId="0" applyFont="1" applyFill="1" applyBorder="1"/>
    <xf numFmtId="0" fontId="4" fillId="25" borderId="46" xfId="0" applyFont="1" applyFill="1" applyBorder="1"/>
    <xf numFmtId="0" fontId="8" fillId="0" borderId="13" xfId="0" applyFont="1" applyBorder="1" applyAlignment="1">
      <alignment horizontal="center"/>
    </xf>
    <xf numFmtId="165" fontId="4" fillId="25" borderId="12" xfId="0" applyNumberFormat="1" applyFont="1" applyFill="1" applyBorder="1"/>
    <xf numFmtId="0" fontId="10" fillId="0" borderId="0" xfId="0" applyFont="1" applyAlignment="1">
      <alignment wrapText="1"/>
    </xf>
    <xf numFmtId="5" fontId="10" fillId="0" borderId="0" xfId="0" applyNumberFormat="1" applyFont="1"/>
    <xf numFmtId="0" fontId="10" fillId="0" borderId="0" xfId="0" applyFont="1" applyAlignment="1">
      <alignment horizontal="center"/>
    </xf>
    <xf numFmtId="9" fontId="10" fillId="0" borderId="10" xfId="0" applyNumberFormat="1" applyFont="1" applyBorder="1" applyAlignment="1">
      <alignment horizontal="center"/>
    </xf>
    <xf numFmtId="3" fontId="10" fillId="0" borderId="10" xfId="0" applyNumberFormat="1" applyFont="1" applyBorder="1"/>
    <xf numFmtId="17" fontId="17" fillId="0" borderId="48" xfId="0" applyNumberFormat="1" applyFont="1" applyBorder="1" applyAlignment="1">
      <alignment horizontal="center"/>
    </xf>
    <xf numFmtId="1" fontId="17" fillId="0" borderId="25" xfId="0" applyNumberFormat="1" applyFont="1" applyBorder="1" applyAlignment="1">
      <alignment horizontal="center"/>
    </xf>
    <xf numFmtId="1" fontId="10" fillId="0" borderId="3" xfId="0" applyNumberFormat="1" applyFont="1" applyBorder="1" applyAlignment="1">
      <alignment horizontal="center"/>
    </xf>
    <xf numFmtId="0" fontId="0" fillId="0" borderId="25" xfId="0" applyBorder="1" applyAlignment="1">
      <alignment horizontal="center"/>
    </xf>
    <xf numFmtId="0" fontId="10" fillId="0" borderId="42" xfId="0" applyFont="1" applyBorder="1" applyAlignment="1">
      <alignment wrapText="1"/>
    </xf>
    <xf numFmtId="4" fontId="10" fillId="0" borderId="14" xfId="0" applyNumberFormat="1" applyFont="1" applyBorder="1"/>
    <xf numFmtId="4" fontId="10" fillId="0" borderId="3" xfId="0" applyNumberFormat="1" applyFont="1" applyBorder="1"/>
    <xf numFmtId="3" fontId="8" fillId="0" borderId="40" xfId="0" applyNumberFormat="1" applyFont="1" applyBorder="1" applyAlignment="1">
      <alignment horizontal="center"/>
    </xf>
    <xf numFmtId="3" fontId="10" fillId="0" borderId="40" xfId="0" applyNumberFormat="1" applyFont="1" applyBorder="1"/>
    <xf numFmtId="3" fontId="10" fillId="0" borderId="22" xfId="0" applyNumberFormat="1" applyFont="1" applyBorder="1"/>
    <xf numFmtId="3" fontId="8" fillId="0" borderId="2" xfId="0" applyNumberFormat="1" applyFont="1" applyBorder="1" applyAlignment="1">
      <alignment horizontal="center" wrapText="1"/>
    </xf>
    <xf numFmtId="3" fontId="8" fillId="0" borderId="16" xfId="0" applyNumberFormat="1" applyFont="1" applyBorder="1" applyAlignment="1">
      <alignment horizontal="center" wrapText="1"/>
    </xf>
    <xf numFmtId="3" fontId="10" fillId="0" borderId="14" xfId="0" applyNumberFormat="1" applyFont="1" applyBorder="1" applyAlignment="1">
      <alignment horizontal="center"/>
    </xf>
    <xf numFmtId="3" fontId="10" fillId="0" borderId="3" xfId="0" applyNumberFormat="1" applyFont="1" applyBorder="1" applyAlignment="1">
      <alignment horizontal="center"/>
    </xf>
    <xf numFmtId="3" fontId="10" fillId="0" borderId="14" xfId="0" applyNumberFormat="1" applyFont="1" applyBorder="1"/>
    <xf numFmtId="0" fontId="10" fillId="0" borderId="44" xfId="0" applyFont="1" applyBorder="1" applyAlignment="1">
      <alignment wrapText="1"/>
    </xf>
    <xf numFmtId="0" fontId="10" fillId="0" borderId="44" xfId="0" applyFont="1" applyBorder="1"/>
    <xf numFmtId="14" fontId="10" fillId="0" borderId="0" xfId="0" applyNumberFormat="1" applyFont="1"/>
    <xf numFmtId="0" fontId="17" fillId="0" borderId="49" xfId="0" applyFont="1" applyBorder="1" applyAlignment="1">
      <alignment horizontal="center"/>
    </xf>
    <xf numFmtId="0" fontId="17" fillId="0" borderId="50" xfId="0" applyFont="1" applyBorder="1" applyAlignment="1">
      <alignment horizontal="center"/>
    </xf>
    <xf numFmtId="4" fontId="17" fillId="0" borderId="25" xfId="0" applyNumberFormat="1" applyFont="1" applyBorder="1" applyAlignment="1">
      <alignment horizontal="right"/>
    </xf>
    <xf numFmtId="3" fontId="10" fillId="0" borderId="0" xfId="0" applyNumberFormat="1" applyFont="1"/>
    <xf numFmtId="3" fontId="10" fillId="0" borderId="0" xfId="0" applyNumberFormat="1" applyFont="1" applyAlignment="1">
      <alignment horizontal="center"/>
    </xf>
    <xf numFmtId="4" fontId="10" fillId="0" borderId="0" xfId="0" applyNumberFormat="1" applyFont="1"/>
    <xf numFmtId="14" fontId="10" fillId="0" borderId="40" xfId="0" applyNumberFormat="1" applyFont="1" applyBorder="1"/>
    <xf numFmtId="0" fontId="0" fillId="0" borderId="28" xfId="0" applyBorder="1" applyAlignment="1">
      <alignment horizontal="center"/>
    </xf>
    <xf numFmtId="0" fontId="0" fillId="0" borderId="18" xfId="0" applyBorder="1" applyAlignment="1">
      <alignment horizontal="center"/>
    </xf>
    <xf numFmtId="4" fontId="0" fillId="0" borderId="25" xfId="0" applyNumberFormat="1" applyBorder="1"/>
    <xf numFmtId="0" fontId="0" fillId="0" borderId="51" xfId="0" applyBorder="1" applyAlignment="1">
      <alignment horizontal="center"/>
    </xf>
    <xf numFmtId="4" fontId="0" fillId="0" borderId="28" xfId="0" applyNumberFormat="1" applyBorder="1"/>
    <xf numFmtId="0" fontId="0" fillId="0" borderId="52" xfId="0" applyBorder="1" applyAlignment="1">
      <alignment horizontal="center"/>
    </xf>
    <xf numFmtId="0" fontId="17" fillId="0" borderId="26" xfId="0" applyFont="1" applyBorder="1"/>
    <xf numFmtId="4" fontId="17" fillId="0" borderId="25" xfId="0" applyNumberFormat="1" applyFont="1" applyBorder="1"/>
    <xf numFmtId="0" fontId="17" fillId="0" borderId="51" xfId="0" applyFont="1" applyBorder="1" applyAlignment="1">
      <alignment horizontal="center"/>
    </xf>
    <xf numFmtId="3" fontId="10" fillId="0" borderId="13" xfId="0" applyNumberFormat="1" applyFont="1" applyBorder="1" applyAlignment="1">
      <alignment horizontal="center"/>
    </xf>
    <xf numFmtId="4" fontId="10" fillId="0" borderId="13" xfId="0" applyNumberFormat="1" applyFont="1" applyBorder="1"/>
    <xf numFmtId="14" fontId="10" fillId="0" borderId="21" xfId="0" applyNumberFormat="1" applyFont="1" applyBorder="1"/>
    <xf numFmtId="5" fontId="10" fillId="0" borderId="42" xfId="0" applyNumberFormat="1" applyFont="1" applyBorder="1"/>
    <xf numFmtId="0" fontId="0" fillId="0" borderId="0" xfId="0" quotePrefix="1" applyAlignment="1">
      <alignment horizontal="left"/>
    </xf>
    <xf numFmtId="37" fontId="0" fillId="0" borderId="0" xfId="0" applyNumberFormat="1"/>
    <xf numFmtId="3" fontId="0" fillId="0" borderId="0" xfId="0" applyNumberFormat="1"/>
    <xf numFmtId="0" fontId="10" fillId="0" borderId="40" xfId="0" quotePrefix="1" applyFont="1" applyBorder="1" applyAlignment="1">
      <alignment horizontal="left"/>
    </xf>
    <xf numFmtId="9" fontId="10" fillId="0" borderId="14" xfId="0" applyNumberFormat="1" applyFont="1" applyBorder="1" applyAlignment="1">
      <alignment horizontal="center"/>
    </xf>
    <xf numFmtId="0" fontId="10" fillId="0" borderId="40" xfId="0" applyFont="1" applyBorder="1" applyAlignment="1">
      <alignment horizontal="left"/>
    </xf>
    <xf numFmtId="0" fontId="17" fillId="0" borderId="53" xfId="0" applyFont="1" applyBorder="1" applyAlignment="1">
      <alignment horizontal="center"/>
    </xf>
    <xf numFmtId="4" fontId="17" fillId="0" borderId="54" xfId="0" applyNumberFormat="1" applyFont="1" applyBorder="1" applyAlignment="1">
      <alignment horizontal="right"/>
    </xf>
    <xf numFmtId="2" fontId="17" fillId="0" borderId="55" xfId="0" applyNumberFormat="1" applyFont="1" applyBorder="1" applyAlignment="1">
      <alignment horizontal="center"/>
    </xf>
    <xf numFmtId="2" fontId="0" fillId="0" borderId="38" xfId="0" applyNumberFormat="1" applyBorder="1"/>
    <xf numFmtId="0" fontId="3" fillId="0" borderId="3" xfId="0" applyFont="1" applyBorder="1"/>
    <xf numFmtId="0" fontId="3" fillId="0" borderId="3" xfId="0" applyFont="1" applyBorder="1" applyAlignment="1">
      <alignment horizontal="left"/>
    </xf>
    <xf numFmtId="0" fontId="0" fillId="0" borderId="14" xfId="0" applyBorder="1"/>
    <xf numFmtId="0" fontId="0" fillId="0" borderId="14" xfId="0" applyBorder="1" applyAlignment="1">
      <alignment horizontal="left"/>
    </xf>
    <xf numFmtId="4" fontId="0" fillId="0" borderId="0" xfId="0" applyNumberFormat="1"/>
    <xf numFmtId="8" fontId="0" fillId="0" borderId="0" xfId="0" applyNumberFormat="1"/>
    <xf numFmtId="14" fontId="0" fillId="0" borderId="0" xfId="0" applyNumberFormat="1"/>
    <xf numFmtId="2" fontId="10" fillId="0" borderId="3" xfId="0" applyNumberFormat="1" applyFont="1" applyBorder="1" applyAlignment="1">
      <alignment horizontal="center"/>
    </xf>
    <xf numFmtId="14" fontId="10" fillId="0" borderId="10" xfId="0" applyNumberFormat="1" applyFont="1" applyBorder="1" applyAlignment="1">
      <alignment horizontal="left"/>
    </xf>
    <xf numFmtId="14" fontId="10" fillId="0" borderId="14" xfId="0" applyNumberFormat="1" applyFont="1" applyBorder="1" applyAlignment="1">
      <alignment horizontal="left"/>
    </xf>
    <xf numFmtId="7" fontId="10" fillId="0" borderId="45" xfId="0" applyNumberFormat="1" applyFont="1" applyBorder="1"/>
    <xf numFmtId="7" fontId="10" fillId="0" borderId="22" xfId="0" applyNumberFormat="1" applyFont="1" applyBorder="1"/>
    <xf numFmtId="7" fontId="10" fillId="0" borderId="40" xfId="0" applyNumberFormat="1" applyFont="1" applyBorder="1"/>
    <xf numFmtId="7" fontId="10" fillId="0" borderId="21" xfId="0" applyNumberFormat="1" applyFont="1" applyBorder="1"/>
    <xf numFmtId="7" fontId="12" fillId="25" borderId="12" xfId="0" applyNumberFormat="1" applyFont="1" applyFill="1" applyBorder="1"/>
    <xf numFmtId="14" fontId="0" fillId="0" borderId="0" xfId="0" applyNumberFormat="1" applyAlignment="1">
      <alignment vertical="center"/>
    </xf>
    <xf numFmtId="14" fontId="10" fillId="0" borderId="3" xfId="0" applyNumberFormat="1" applyFont="1" applyBorder="1" applyAlignment="1">
      <alignment horizontal="left"/>
    </xf>
    <xf numFmtId="0" fontId="26" fillId="0" borderId="0" xfId="91" applyFont="1"/>
    <xf numFmtId="0" fontId="26" fillId="0" borderId="0" xfId="91" applyFont="1" applyAlignment="1">
      <alignment horizontal="center"/>
    </xf>
    <xf numFmtId="0" fontId="10" fillId="0" borderId="0" xfId="86" applyFont="1"/>
    <xf numFmtId="0" fontId="29" fillId="0" borderId="0" xfId="86" applyFont="1"/>
    <xf numFmtId="0" fontId="17" fillId="38" borderId="0" xfId="86" applyFill="1"/>
    <xf numFmtId="0" fontId="31" fillId="0" borderId="0" xfId="91" applyFont="1"/>
    <xf numFmtId="0" fontId="31" fillId="0" borderId="0" xfId="91" applyFont="1" applyAlignment="1">
      <alignment horizontal="center"/>
    </xf>
    <xf numFmtId="0" fontId="31" fillId="0" borderId="8" xfId="91" applyFont="1" applyBorder="1" applyAlignment="1">
      <alignment horizontal="center"/>
    </xf>
    <xf numFmtId="43" fontId="31" fillId="0" borderId="0" xfId="40" applyFont="1"/>
    <xf numFmtId="0" fontId="6" fillId="0" borderId="8" xfId="91" applyFont="1" applyBorder="1"/>
    <xf numFmtId="0" fontId="28" fillId="0" borderId="8" xfId="86" applyFont="1" applyBorder="1"/>
    <xf numFmtId="39" fontId="26" fillId="0" borderId="0" xfId="40" applyNumberFormat="1" applyFont="1"/>
    <xf numFmtId="39" fontId="31" fillId="0" borderId="0" xfId="40" applyNumberFormat="1" applyFont="1"/>
    <xf numFmtId="0" fontId="26" fillId="25" borderId="56" xfId="91" applyFont="1" applyFill="1" applyBorder="1"/>
    <xf numFmtId="0" fontId="26" fillId="25" borderId="57" xfId="91" applyFont="1" applyFill="1" applyBorder="1"/>
    <xf numFmtId="43" fontId="26" fillId="25" borderId="57" xfId="40" applyFont="1" applyFill="1" applyBorder="1"/>
    <xf numFmtId="0" fontId="26" fillId="25" borderId="58" xfId="91" applyFont="1" applyFill="1" applyBorder="1"/>
    <xf numFmtId="0" fontId="17" fillId="25" borderId="59" xfId="86" applyFill="1" applyBorder="1"/>
    <xf numFmtId="0" fontId="17" fillId="25" borderId="0" xfId="86" applyFill="1"/>
    <xf numFmtId="0" fontId="30" fillId="25" borderId="0" xfId="86" applyFont="1" applyFill="1" applyAlignment="1">
      <alignment horizontal="center"/>
    </xf>
    <xf numFmtId="0" fontId="26" fillId="25" borderId="60" xfId="91" applyFont="1" applyFill="1" applyBorder="1"/>
    <xf numFmtId="0" fontId="26" fillId="25" borderId="61" xfId="91" applyFont="1" applyFill="1" applyBorder="1"/>
    <xf numFmtId="0" fontId="26" fillId="25" borderId="8" xfId="91" applyFont="1" applyFill="1" applyBorder="1"/>
    <xf numFmtId="0" fontId="27" fillId="25" borderId="8" xfId="91" applyFont="1" applyFill="1" applyBorder="1" applyAlignment="1">
      <alignment horizontal="center"/>
    </xf>
    <xf numFmtId="43" fontId="26" fillId="25" borderId="8" xfId="40" applyFont="1" applyFill="1" applyBorder="1"/>
    <xf numFmtId="0" fontId="29" fillId="25" borderId="62" xfId="86" applyFont="1" applyFill="1" applyBorder="1"/>
    <xf numFmtId="0" fontId="6" fillId="0" borderId="0" xfId="91" applyFont="1"/>
    <xf numFmtId="0" fontId="6" fillId="0" borderId="0" xfId="91" applyFont="1" applyAlignment="1">
      <alignment horizontal="center"/>
    </xf>
    <xf numFmtId="39" fontId="6" fillId="0" borderId="0" xfId="40" applyNumberFormat="1" applyFont="1"/>
    <xf numFmtId="0" fontId="6" fillId="0" borderId="0" xfId="86" applyFont="1"/>
    <xf numFmtId="15" fontId="9" fillId="25" borderId="60" xfId="91" applyNumberFormat="1" applyFont="1" applyFill="1" applyBorder="1"/>
    <xf numFmtId="0" fontId="9" fillId="25" borderId="0" xfId="91" applyFont="1" applyFill="1" applyAlignment="1">
      <alignment horizontal="right"/>
    </xf>
    <xf numFmtId="15" fontId="9" fillId="25" borderId="60" xfId="91" applyNumberFormat="1" applyFont="1" applyFill="1" applyBorder="1" applyAlignment="1">
      <alignment horizontal="left"/>
    </xf>
    <xf numFmtId="169" fontId="9" fillId="25" borderId="60" xfId="91" applyNumberFormat="1" applyFont="1" applyFill="1" applyBorder="1" applyAlignment="1">
      <alignment horizontal="left"/>
    </xf>
    <xf numFmtId="43" fontId="9" fillId="25" borderId="0" xfId="40" applyFont="1" applyFill="1"/>
    <xf numFmtId="15" fontId="9" fillId="25" borderId="60" xfId="86" applyNumberFormat="1" applyFont="1" applyFill="1" applyBorder="1"/>
    <xf numFmtId="43" fontId="26" fillId="25" borderId="0" xfId="40" applyFont="1" applyFill="1"/>
    <xf numFmtId="0" fontId="6" fillId="0" borderId="0" xfId="91" applyFont="1" applyAlignment="1">
      <alignment horizontal="right"/>
    </xf>
    <xf numFmtId="0" fontId="26" fillId="0" borderId="8" xfId="91" applyFont="1" applyBorder="1"/>
    <xf numFmtId="0" fontId="6" fillId="0" borderId="0" xfId="91" applyFont="1" applyAlignment="1">
      <alignment horizontal="right" shrinkToFit="1"/>
    </xf>
    <xf numFmtId="0" fontId="6" fillId="0" borderId="1" xfId="91" applyFont="1" applyBorder="1" applyAlignment="1">
      <alignment horizontal="right"/>
    </xf>
    <xf numFmtId="39" fontId="6" fillId="0" borderId="1" xfId="40" applyNumberFormat="1" applyFont="1" applyBorder="1"/>
    <xf numFmtId="0" fontId="6" fillId="0" borderId="1" xfId="91" applyFont="1" applyBorder="1"/>
    <xf numFmtId="0" fontId="6" fillId="0" borderId="8" xfId="91" applyFont="1" applyBorder="1" applyAlignment="1">
      <alignment horizontal="right"/>
    </xf>
    <xf numFmtId="39" fontId="6" fillId="0" borderId="0" xfId="91" applyNumberFormat="1" applyFont="1"/>
    <xf numFmtId="7" fontId="6" fillId="0" borderId="0" xfId="40" applyNumberFormat="1" applyFont="1"/>
    <xf numFmtId="7" fontId="6" fillId="0" borderId="63" xfId="40" applyNumberFormat="1" applyFont="1" applyBorder="1"/>
    <xf numFmtId="39" fontId="6" fillId="0" borderId="8" xfId="40" applyNumberFormat="1" applyFont="1" applyBorder="1" applyAlignment="1">
      <alignment horizontal="center"/>
    </xf>
    <xf numFmtId="168" fontId="6" fillId="0" borderId="8" xfId="40" applyNumberFormat="1" applyFont="1" applyBorder="1" applyAlignment="1">
      <alignment horizontal="center"/>
    </xf>
    <xf numFmtId="14" fontId="26" fillId="0" borderId="0" xfId="91" applyNumberFormat="1" applyFont="1"/>
    <xf numFmtId="7" fontId="6" fillId="0" borderId="7" xfId="40" applyNumberFormat="1" applyFont="1" applyBorder="1"/>
    <xf numFmtId="170" fontId="34" fillId="0" borderId="0" xfId="91" applyNumberFormat="1" applyFont="1"/>
    <xf numFmtId="14" fontId="31" fillId="0" borderId="0" xfId="91" applyNumberFormat="1" applyFont="1"/>
    <xf numFmtId="7" fontId="6" fillId="0" borderId="8" xfId="40" applyNumberFormat="1" applyFont="1" applyBorder="1"/>
    <xf numFmtId="14" fontId="34" fillId="0" borderId="0" xfId="91" applyNumberFormat="1" applyFont="1"/>
    <xf numFmtId="0" fontId="6" fillId="0" borderId="0" xfId="0" applyFont="1"/>
    <xf numFmtId="171" fontId="4" fillId="25" borderId="12" xfId="0" applyNumberFormat="1" applyFont="1" applyFill="1" applyBorder="1"/>
    <xf numFmtId="43" fontId="0" fillId="0" borderId="14" xfId="34" applyFont="1" applyBorder="1"/>
    <xf numFmtId="43" fontId="0" fillId="0" borderId="3" xfId="34" applyFont="1" applyBorder="1"/>
    <xf numFmtId="43" fontId="0" fillId="0" borderId="13" xfId="34" applyFont="1" applyBorder="1"/>
    <xf numFmtId="43" fontId="4" fillId="25" borderId="46" xfId="34" applyFont="1" applyFill="1" applyBorder="1"/>
    <xf numFmtId="10" fontId="10" fillId="0" borderId="3" xfId="0" applyNumberFormat="1" applyFont="1" applyBorder="1" applyAlignment="1">
      <alignment horizontal="center"/>
    </xf>
    <xf numFmtId="7" fontId="10" fillId="0" borderId="3" xfId="0" applyNumberFormat="1" applyFont="1" applyBorder="1" applyAlignment="1">
      <alignment horizontal="right"/>
    </xf>
    <xf numFmtId="7" fontId="4" fillId="25" borderId="12" xfId="0" applyNumberFormat="1" applyFont="1" applyFill="1" applyBorder="1" applyAlignment="1">
      <alignment horizontal="right"/>
    </xf>
    <xf numFmtId="171" fontId="0" fillId="0" borderId="0" xfId="0" applyNumberFormat="1"/>
    <xf numFmtId="7" fontId="0" fillId="0" borderId="0" xfId="0" applyNumberFormat="1"/>
    <xf numFmtId="7" fontId="0" fillId="25" borderId="11" xfId="0" applyNumberFormat="1" applyFill="1" applyBorder="1"/>
    <xf numFmtId="37" fontId="4" fillId="25" borderId="46" xfId="0" applyNumberFormat="1" applyFont="1" applyFill="1" applyBorder="1"/>
    <xf numFmtId="0" fontId="4" fillId="25" borderId="64" xfId="0" applyFont="1" applyFill="1" applyBorder="1" applyAlignment="1">
      <alignment horizontal="left"/>
    </xf>
    <xf numFmtId="0" fontId="13" fillId="0" borderId="13" xfId="0" applyFont="1" applyBorder="1" applyAlignment="1">
      <alignment horizontal="left"/>
    </xf>
    <xf numFmtId="3" fontId="13" fillId="0" borderId="40" xfId="0" applyNumberFormat="1" applyFont="1" applyBorder="1" applyAlignment="1">
      <alignment horizontal="center"/>
    </xf>
    <xf numFmtId="3" fontId="13" fillId="0" borderId="2" xfId="0" applyNumberFormat="1" applyFont="1" applyBorder="1" applyAlignment="1">
      <alignment horizontal="center" wrapText="1"/>
    </xf>
    <xf numFmtId="3" fontId="13" fillId="0" borderId="16" xfId="0" applyNumberFormat="1" applyFont="1" applyBorder="1" applyAlignment="1">
      <alignment horizontal="center" wrapText="1"/>
    </xf>
    <xf numFmtId="43" fontId="13" fillId="0" borderId="16" xfId="34" applyFont="1" applyBorder="1" applyAlignment="1">
      <alignment horizontal="center" wrapText="1"/>
    </xf>
    <xf numFmtId="0" fontId="13" fillId="0" borderId="16" xfId="0" applyFont="1" applyBorder="1" applyAlignment="1">
      <alignment horizontal="center" wrapText="1"/>
    </xf>
    <xf numFmtId="0" fontId="13" fillId="0" borderId="2" xfId="0" applyFont="1" applyBorder="1" applyAlignment="1">
      <alignment horizontal="center"/>
    </xf>
    <xf numFmtId="44" fontId="17" fillId="0" borderId="59" xfId="49" applyFont="1" applyBorder="1"/>
    <xf numFmtId="43" fontId="0" fillId="0" borderId="65" xfId="34" applyFont="1" applyBorder="1"/>
    <xf numFmtId="0" fontId="0" fillId="0" borderId="59" xfId="0" applyBorder="1" applyAlignment="1">
      <alignment horizontal="left"/>
    </xf>
    <xf numFmtId="43" fontId="13" fillId="0" borderId="3" xfId="34" applyFont="1" applyBorder="1" applyAlignment="1">
      <alignment horizontal="center" wrapText="1"/>
    </xf>
    <xf numFmtId="43" fontId="0" fillId="0" borderId="0" xfId="0" applyNumberFormat="1"/>
    <xf numFmtId="43" fontId="0" fillId="0" borderId="0" xfId="34" applyFont="1"/>
    <xf numFmtId="0" fontId="0" fillId="0" borderId="1" xfId="0" applyBorder="1"/>
    <xf numFmtId="0" fontId="0" fillId="0" borderId="66" xfId="0" applyBorder="1" applyAlignment="1">
      <alignment horizontal="center"/>
    </xf>
    <xf numFmtId="0" fontId="0" fillId="0" borderId="1" xfId="0" applyBorder="1" applyAlignment="1">
      <alignment horizontal="center"/>
    </xf>
    <xf numFmtId="0" fontId="36" fillId="0" borderId="0" xfId="0" applyFont="1"/>
    <xf numFmtId="0" fontId="36" fillId="0" borderId="0" xfId="0" applyFont="1" applyAlignment="1">
      <alignment horizontal="center" wrapText="1"/>
    </xf>
    <xf numFmtId="0" fontId="36" fillId="0" borderId="0" xfId="0" applyFont="1" applyAlignment="1">
      <alignment horizontal="left"/>
    </xf>
    <xf numFmtId="44" fontId="36" fillId="0" borderId="0" xfId="0" applyNumberFormat="1" applyFont="1"/>
    <xf numFmtId="44" fontId="36" fillId="0" borderId="60" xfId="0" applyNumberFormat="1" applyFont="1" applyBorder="1"/>
    <xf numFmtId="0" fontId="36" fillId="0" borderId="59" xfId="0" quotePrefix="1" applyFont="1" applyBorder="1" applyAlignment="1">
      <alignment horizontal="center"/>
    </xf>
    <xf numFmtId="0" fontId="36" fillId="0" borderId="59" xfId="0" applyFont="1" applyBorder="1"/>
    <xf numFmtId="0" fontId="38" fillId="0" borderId="67" xfId="0" applyFont="1" applyBorder="1"/>
    <xf numFmtId="0" fontId="38" fillId="0" borderId="63" xfId="0" applyFont="1" applyBorder="1"/>
    <xf numFmtId="0" fontId="38" fillId="0" borderId="0" xfId="0" applyFont="1"/>
    <xf numFmtId="0" fontId="36" fillId="0" borderId="0" xfId="0" quotePrefix="1" applyFont="1" applyAlignment="1">
      <alignment horizontal="left"/>
    </xf>
    <xf numFmtId="0" fontId="0" fillId="0" borderId="0" xfId="0" quotePrefix="1"/>
    <xf numFmtId="0" fontId="36" fillId="0" borderId="60" xfId="0" applyFont="1" applyBorder="1"/>
    <xf numFmtId="0" fontId="36" fillId="0" borderId="0" xfId="0" applyFont="1" applyAlignment="1">
      <alignment horizontal="center" vertical="top"/>
    </xf>
    <xf numFmtId="14" fontId="36" fillId="0" borderId="59" xfId="0" quotePrefix="1" applyNumberFormat="1" applyFont="1" applyBorder="1" applyAlignment="1">
      <alignment horizontal="center" vertical="top"/>
    </xf>
    <xf numFmtId="0" fontId="38" fillId="0" borderId="0" xfId="0" applyFont="1" applyAlignment="1">
      <alignment vertical="top"/>
    </xf>
    <xf numFmtId="0" fontId="38" fillId="0" borderId="0" xfId="0" applyFont="1" applyAlignment="1">
      <alignment horizontal="center" vertical="top"/>
    </xf>
    <xf numFmtId="0" fontId="22" fillId="0" borderId="0" xfId="0" applyFont="1" applyAlignment="1">
      <alignment horizontal="left"/>
    </xf>
    <xf numFmtId="0" fontId="4" fillId="0" borderId="0" xfId="0" quotePrefix="1" applyFont="1" applyAlignment="1">
      <alignment horizontal="right"/>
    </xf>
    <xf numFmtId="0" fontId="0" fillId="0" borderId="0" xfId="0" applyAlignment="1">
      <alignment wrapText="1"/>
    </xf>
    <xf numFmtId="0" fontId="0" fillId="0" borderId="68" xfId="0" applyBorder="1" applyAlignment="1">
      <alignment vertical="top" wrapText="1"/>
    </xf>
    <xf numFmtId="16" fontId="36" fillId="0" borderId="0" xfId="0" applyNumberFormat="1" applyFont="1" applyAlignment="1">
      <alignment horizontal="left" vertical="top"/>
    </xf>
    <xf numFmtId="0" fontId="38" fillId="40" borderId="56" xfId="0" applyFont="1" applyFill="1" applyBorder="1" applyAlignment="1">
      <alignment vertical="center"/>
    </xf>
    <xf numFmtId="0" fontId="38" fillId="40" borderId="57" xfId="0" applyFont="1" applyFill="1" applyBorder="1" applyAlignment="1">
      <alignment vertical="center"/>
    </xf>
    <xf numFmtId="0" fontId="38" fillId="40" borderId="58" xfId="0" applyFont="1" applyFill="1" applyBorder="1" applyAlignment="1">
      <alignment vertical="center"/>
    </xf>
    <xf numFmtId="0" fontId="38" fillId="40" borderId="61" xfId="0" applyFont="1" applyFill="1" applyBorder="1" applyAlignment="1">
      <alignment horizontal="center" vertical="center" wrapText="1"/>
    </xf>
    <xf numFmtId="0" fontId="38" fillId="40" borderId="8" xfId="0" applyFont="1" applyFill="1" applyBorder="1" applyAlignment="1">
      <alignment horizontal="center" vertical="center" wrapText="1"/>
    </xf>
    <xf numFmtId="0" fontId="38" fillId="40" borderId="62" xfId="0" applyFont="1" applyFill="1" applyBorder="1" applyAlignment="1">
      <alignment horizontal="center" vertical="center" wrapText="1"/>
    </xf>
    <xf numFmtId="0" fontId="39" fillId="0" borderId="63" xfId="0" applyFont="1" applyBorder="1"/>
    <xf numFmtId="0" fontId="39" fillId="0" borderId="0" xfId="0" applyFont="1" applyAlignment="1">
      <alignment horizontal="center" vertical="center"/>
    </xf>
    <xf numFmtId="0" fontId="39" fillId="0" borderId="0" xfId="0" applyFont="1" applyAlignment="1">
      <alignment vertical="top"/>
    </xf>
    <xf numFmtId="0" fontId="39" fillId="0" borderId="0" xfId="0" applyFont="1" applyAlignment="1">
      <alignment horizontal="center" vertical="top"/>
    </xf>
    <xf numFmtId="44" fontId="39" fillId="0" borderId="69" xfId="0" applyNumberFormat="1" applyFont="1" applyBorder="1"/>
    <xf numFmtId="0" fontId="4" fillId="43" borderId="66" xfId="0" applyFont="1" applyFill="1" applyBorder="1" applyAlignment="1">
      <alignment horizontal="center" vertical="center" wrapText="1"/>
    </xf>
    <xf numFmtId="0" fontId="4" fillId="43" borderId="1" xfId="0" applyFont="1" applyFill="1" applyBorder="1" applyAlignment="1">
      <alignment horizontal="center" vertical="center" wrapText="1"/>
    </xf>
    <xf numFmtId="0" fontId="4" fillId="43" borderId="70" xfId="0" applyFont="1" applyFill="1" applyBorder="1" applyAlignment="1">
      <alignment horizontal="center" vertical="center" wrapText="1"/>
    </xf>
    <xf numFmtId="0" fontId="4" fillId="43" borderId="71" xfId="0" applyFont="1" applyFill="1" applyBorder="1" applyAlignment="1">
      <alignment horizontal="center" vertical="center" wrapText="1"/>
    </xf>
    <xf numFmtId="0" fontId="3" fillId="0" borderId="0" xfId="0" applyFont="1"/>
    <xf numFmtId="0" fontId="3" fillId="0" borderId="68" xfId="0" applyFont="1" applyBorder="1" applyAlignment="1">
      <alignment horizontal="left" vertical="top" wrapText="1"/>
    </xf>
    <xf numFmtId="14" fontId="3" fillId="0" borderId="13" xfId="0" quotePrefix="1" applyNumberFormat="1" applyFont="1" applyBorder="1" applyAlignment="1">
      <alignment horizontal="left"/>
    </xf>
    <xf numFmtId="0" fontId="63" fillId="0" borderId="0" xfId="0" applyFont="1"/>
    <xf numFmtId="14" fontId="3" fillId="0" borderId="3" xfId="0" quotePrefix="1" applyNumberFormat="1" applyFont="1" applyBorder="1" applyAlignment="1">
      <alignment horizontal="left"/>
    </xf>
    <xf numFmtId="14" fontId="3" fillId="0" borderId="14" xfId="0" quotePrefix="1" applyNumberFormat="1" applyFont="1" applyBorder="1" applyAlignment="1">
      <alignment horizontal="left"/>
    </xf>
    <xf numFmtId="0" fontId="32" fillId="0" borderId="0" xfId="93" applyFont="1"/>
    <xf numFmtId="0" fontId="53" fillId="0" borderId="0" xfId="93"/>
    <xf numFmtId="43" fontId="3" fillId="0" borderId="0" xfId="93" applyNumberFormat="1" applyFont="1" applyAlignment="1">
      <alignment horizontal="centerContinuous"/>
    </xf>
    <xf numFmtId="0" fontId="3" fillId="0" borderId="0" xfId="93" applyFont="1" applyAlignment="1">
      <alignment horizontal="centerContinuous"/>
    </xf>
    <xf numFmtId="39" fontId="3" fillId="0" borderId="0" xfId="93" applyNumberFormat="1" applyFont="1" applyAlignment="1">
      <alignment horizontal="centerContinuous"/>
    </xf>
    <xf numFmtId="3" fontId="3" fillId="0" borderId="0" xfId="94"/>
    <xf numFmtId="0" fontId="3" fillId="0" borderId="0" xfId="93" applyFont="1"/>
    <xf numFmtId="0" fontId="3" fillId="40" borderId="56" xfId="93" applyFont="1" applyFill="1" applyBorder="1"/>
    <xf numFmtId="0" fontId="3" fillId="40" borderId="57" xfId="93" applyFont="1" applyFill="1" applyBorder="1"/>
    <xf numFmtId="0" fontId="4" fillId="40" borderId="57" xfId="93" quotePrefix="1" applyFont="1" applyFill="1" applyBorder="1" applyAlignment="1">
      <alignment horizontal="centerContinuous"/>
    </xf>
    <xf numFmtId="0" fontId="3" fillId="40" borderId="57" xfId="93" applyFont="1" applyFill="1" applyBorder="1" applyAlignment="1">
      <alignment horizontal="centerContinuous"/>
    </xf>
    <xf numFmtId="39" fontId="3" fillId="40" borderId="57" xfId="93" applyNumberFormat="1" applyFont="1" applyFill="1" applyBorder="1" applyAlignment="1">
      <alignment horizontal="centerContinuous"/>
    </xf>
    <xf numFmtId="3" fontId="3" fillId="40" borderId="57" xfId="94" applyFill="1" applyBorder="1"/>
    <xf numFmtId="0" fontId="3" fillId="40" borderId="58" xfId="93" applyFont="1" applyFill="1" applyBorder="1"/>
    <xf numFmtId="0" fontId="4" fillId="40" borderId="61" xfId="93" applyFont="1" applyFill="1" applyBorder="1" applyAlignment="1">
      <alignment horizontal="center"/>
    </xf>
    <xf numFmtId="0" fontId="3" fillId="40" borderId="8" xfId="93" applyFont="1" applyFill="1" applyBorder="1"/>
    <xf numFmtId="0" fontId="4" fillId="40" borderId="8" xfId="93" applyFont="1" applyFill="1" applyBorder="1" applyAlignment="1">
      <alignment horizontal="center"/>
    </xf>
    <xf numFmtId="39" fontId="4" fillId="40" borderId="8" xfId="93" applyNumberFormat="1" applyFont="1" applyFill="1" applyBorder="1" applyAlignment="1">
      <alignment horizontal="center"/>
    </xf>
    <xf numFmtId="3" fontId="3" fillId="40" borderId="8" xfId="94" applyFill="1" applyBorder="1"/>
    <xf numFmtId="39" fontId="4" fillId="40" borderId="62" xfId="93" applyNumberFormat="1" applyFont="1" applyFill="1" applyBorder="1" applyAlignment="1">
      <alignment horizontal="center"/>
    </xf>
    <xf numFmtId="0" fontId="4" fillId="0" borderId="59" xfId="93" applyFont="1" applyBorder="1" applyAlignment="1">
      <alignment horizontal="center"/>
    </xf>
    <xf numFmtId="0" fontId="4" fillId="0" borderId="0" xfId="93" applyFont="1" applyAlignment="1">
      <alignment horizontal="center"/>
    </xf>
    <xf numFmtId="39" fontId="4" fillId="0" borderId="0" xfId="93" applyNumberFormat="1" applyFont="1" applyAlignment="1">
      <alignment horizontal="center"/>
    </xf>
    <xf numFmtId="39" fontId="4" fillId="0" borderId="60" xfId="93" applyNumberFormat="1" applyFont="1" applyBorder="1" applyAlignment="1">
      <alignment horizontal="center"/>
    </xf>
    <xf numFmtId="39" fontId="3" fillId="0" borderId="0" xfId="93" applyNumberFormat="1" applyFont="1" applyAlignment="1">
      <alignment horizontal="right"/>
    </xf>
    <xf numFmtId="14" fontId="3" fillId="0" borderId="59" xfId="93" quotePrefix="1" applyNumberFormat="1" applyFont="1" applyBorder="1" applyAlignment="1">
      <alignment horizontal="center"/>
    </xf>
    <xf numFmtId="0" fontId="3" fillId="0" borderId="0" xfId="93" applyFont="1" applyAlignment="1">
      <alignment horizontal="center"/>
    </xf>
    <xf numFmtId="0" fontId="3" fillId="0" borderId="60" xfId="93" applyFont="1" applyBorder="1"/>
    <xf numFmtId="0" fontId="53" fillId="0" borderId="67" xfId="93" applyBorder="1"/>
    <xf numFmtId="0" fontId="53" fillId="0" borderId="63" xfId="93" applyBorder="1"/>
    <xf numFmtId="0" fontId="4" fillId="0" borderId="63" xfId="93" applyFont="1" applyBorder="1" applyAlignment="1">
      <alignment horizontal="right"/>
    </xf>
    <xf numFmtId="0" fontId="3" fillId="0" borderId="63" xfId="93" applyFont="1" applyBorder="1"/>
    <xf numFmtId="39" fontId="4" fillId="0" borderId="63" xfId="93" applyNumberFormat="1" applyFont="1" applyBorder="1"/>
    <xf numFmtId="3" fontId="3" fillId="0" borderId="63" xfId="94" applyBorder="1"/>
    <xf numFmtId="0" fontId="3" fillId="0" borderId="69" xfId="93" applyFont="1" applyBorder="1"/>
    <xf numFmtId="39" fontId="3" fillId="0" borderId="0" xfId="93" applyNumberFormat="1" applyFont="1"/>
    <xf numFmtId="39" fontId="53" fillId="0" borderId="0" xfId="93" applyNumberFormat="1"/>
    <xf numFmtId="164" fontId="0" fillId="0" borderId="0" xfId="0" applyNumberFormat="1"/>
    <xf numFmtId="44" fontId="0" fillId="0" borderId="0" xfId="0" applyNumberFormat="1"/>
    <xf numFmtId="44" fontId="0" fillId="0" borderId="46" xfId="0" applyNumberFormat="1" applyBorder="1"/>
    <xf numFmtId="0" fontId="36" fillId="0" borderId="0" xfId="90" applyFont="1"/>
    <xf numFmtId="0" fontId="38" fillId="40" borderId="56" xfId="90" applyFont="1" applyFill="1" applyBorder="1"/>
    <xf numFmtId="0" fontId="38" fillId="40" borderId="57" xfId="90" applyFont="1" applyFill="1" applyBorder="1"/>
    <xf numFmtId="0" fontId="38" fillId="40" borderId="58" xfId="90" applyFont="1" applyFill="1" applyBorder="1"/>
    <xf numFmtId="0" fontId="38" fillId="40" borderId="61" xfId="90" applyFont="1" applyFill="1" applyBorder="1" applyAlignment="1">
      <alignment horizontal="center" wrapText="1"/>
    </xf>
    <xf numFmtId="0" fontId="38" fillId="40" borderId="8" xfId="90" applyFont="1" applyFill="1" applyBorder="1" applyAlignment="1">
      <alignment horizontal="center" wrapText="1"/>
    </xf>
    <xf numFmtId="0" fontId="38" fillId="40" borderId="62" xfId="90" applyFont="1" applyFill="1" applyBorder="1" applyAlignment="1">
      <alignment horizontal="center" wrapText="1"/>
    </xf>
    <xf numFmtId="0" fontId="36" fillId="0" borderId="0" xfId="90" applyFont="1" applyAlignment="1">
      <alignment horizontal="center" wrapText="1"/>
    </xf>
    <xf numFmtId="0" fontId="36" fillId="0" borderId="59" xfId="90" quotePrefix="1" applyFont="1" applyBorder="1" applyAlignment="1">
      <alignment horizontal="center"/>
    </xf>
    <xf numFmtId="39" fontId="36" fillId="0" borderId="60" xfId="90" applyNumberFormat="1" applyFont="1" applyBorder="1"/>
    <xf numFmtId="14" fontId="36" fillId="0" borderId="59" xfId="90" quotePrefix="1" applyNumberFormat="1" applyFont="1" applyBorder="1" applyAlignment="1">
      <alignment horizontal="center" vertical="top"/>
    </xf>
    <xf numFmtId="0" fontId="39" fillId="0" borderId="0" xfId="90" applyFont="1"/>
    <xf numFmtId="0" fontId="36" fillId="0" borderId="0" xfId="90" applyFont="1" applyAlignment="1">
      <alignment horizontal="left"/>
    </xf>
    <xf numFmtId="44" fontId="36" fillId="0" borderId="0" xfId="90" applyNumberFormat="1" applyFont="1"/>
    <xf numFmtId="39" fontId="39" fillId="0" borderId="60" xfId="34" applyNumberFormat="1" applyFont="1" applyBorder="1"/>
    <xf numFmtId="0" fontId="39" fillId="0" borderId="59" xfId="90" applyFont="1" applyBorder="1"/>
    <xf numFmtId="44" fontId="39" fillId="0" borderId="0" xfId="90" applyNumberFormat="1" applyFont="1"/>
    <xf numFmtId="0" fontId="39" fillId="0" borderId="67" xfId="90" applyFont="1" applyBorder="1"/>
    <xf numFmtId="0" fontId="39" fillId="0" borderId="63" xfId="90" applyFont="1" applyBorder="1"/>
    <xf numFmtId="44" fontId="8" fillId="0" borderId="63" xfId="90" applyNumberFormat="1" applyFont="1" applyBorder="1"/>
    <xf numFmtId="39" fontId="39" fillId="0" borderId="69" xfId="34" applyNumberFormat="1" applyFont="1" applyBorder="1"/>
    <xf numFmtId="0" fontId="38" fillId="0" borderId="0" xfId="90" applyFont="1"/>
    <xf numFmtId="0" fontId="36" fillId="0" borderId="0" xfId="90" quotePrefix="1" applyFont="1" applyAlignment="1">
      <alignment horizontal="left"/>
    </xf>
    <xf numFmtId="0" fontId="3" fillId="0" borderId="0" xfId="90"/>
    <xf numFmtId="0" fontId="3" fillId="0" borderId="0" xfId="90" quotePrefix="1"/>
    <xf numFmtId="43" fontId="36" fillId="0" borderId="0" xfId="34" applyFont="1"/>
    <xf numFmtId="43" fontId="38" fillId="40" borderId="58" xfId="34" applyFont="1" applyFill="1" applyBorder="1" applyAlignment="1">
      <alignment vertical="center"/>
    </xf>
    <xf numFmtId="43" fontId="38" fillId="40" borderId="62" xfId="34" applyFont="1" applyFill="1" applyBorder="1" applyAlignment="1">
      <alignment horizontal="center" vertical="center" wrapText="1"/>
    </xf>
    <xf numFmtId="43" fontId="36" fillId="0" borderId="60" xfId="34" applyFont="1" applyBorder="1"/>
    <xf numFmtId="43" fontId="36" fillId="0" borderId="60" xfId="34" applyFont="1" applyBorder="1" applyAlignment="1">
      <alignment vertical="top"/>
    </xf>
    <xf numFmtId="43" fontId="39" fillId="0" borderId="69" xfId="34" applyFont="1" applyBorder="1"/>
    <xf numFmtId="43" fontId="3" fillId="0" borderId="0" xfId="34"/>
    <xf numFmtId="171" fontId="3" fillId="0" borderId="13" xfId="0" applyNumberFormat="1" applyFont="1" applyBorder="1" applyAlignment="1">
      <alignment horizontal="center"/>
    </xf>
    <xf numFmtId="2" fontId="0" fillId="0" borderId="0" xfId="0" applyNumberFormat="1"/>
    <xf numFmtId="172" fontId="4" fillId="0" borderId="0" xfId="0" applyNumberFormat="1" applyFont="1" applyAlignment="1">
      <alignment horizontal="left"/>
    </xf>
    <xf numFmtId="0" fontId="38" fillId="40" borderId="56" xfId="0" applyFont="1" applyFill="1" applyBorder="1"/>
    <xf numFmtId="0" fontId="38" fillId="40" borderId="57" xfId="0" applyFont="1" applyFill="1" applyBorder="1"/>
    <xf numFmtId="0" fontId="38" fillId="40" borderId="58" xfId="0" applyFont="1" applyFill="1" applyBorder="1"/>
    <xf numFmtId="0" fontId="38" fillId="40" borderId="61" xfId="0" applyFont="1" applyFill="1" applyBorder="1" applyAlignment="1">
      <alignment horizontal="center" wrapText="1"/>
    </xf>
    <xf numFmtId="0" fontId="38" fillId="40" borderId="8" xfId="0" applyFont="1" applyFill="1" applyBorder="1" applyAlignment="1">
      <alignment horizontal="center" wrapText="1"/>
    </xf>
    <xf numFmtId="0" fontId="38" fillId="40" borderId="62" xfId="0" applyFont="1" applyFill="1" applyBorder="1" applyAlignment="1">
      <alignment horizontal="center" wrapText="1"/>
    </xf>
    <xf numFmtId="14" fontId="39" fillId="0" borderId="59" xfId="0" quotePrefix="1" applyNumberFormat="1" applyFont="1" applyBorder="1" applyAlignment="1">
      <alignment horizontal="center" vertical="top"/>
    </xf>
    <xf numFmtId="0" fontId="39" fillId="0" borderId="0" xfId="0" applyFont="1" applyAlignment="1">
      <alignment horizontal="left" vertical="top"/>
    </xf>
    <xf numFmtId="44" fontId="39" fillId="0" borderId="60" xfId="0" applyNumberFormat="1" applyFont="1" applyBorder="1" applyAlignment="1">
      <alignment vertical="top"/>
    </xf>
    <xf numFmtId="0" fontId="39" fillId="0" borderId="59" xfId="0" quotePrefix="1" applyFont="1" applyBorder="1" applyAlignment="1">
      <alignment horizontal="center"/>
    </xf>
    <xf numFmtId="0" fontId="39" fillId="0" borderId="0" xfId="0" applyFont="1"/>
    <xf numFmtId="0" fontId="39" fillId="0" borderId="0" xfId="0" applyFont="1" applyAlignment="1">
      <alignment horizontal="left"/>
    </xf>
    <xf numFmtId="44" fontId="39" fillId="0" borderId="60" xfId="0" applyNumberFormat="1" applyFont="1" applyBorder="1"/>
    <xf numFmtId="44" fontId="38" fillId="0" borderId="69" xfId="0" applyNumberFormat="1" applyFont="1" applyBorder="1"/>
    <xf numFmtId="14" fontId="39" fillId="0" borderId="59" xfId="90" quotePrefix="1" applyNumberFormat="1" applyFont="1" applyBorder="1" applyAlignment="1">
      <alignment horizontal="center" vertical="top"/>
    </xf>
    <xf numFmtId="0" fontId="39" fillId="0" borderId="0" xfId="90" applyFont="1" applyAlignment="1">
      <alignment horizontal="left"/>
    </xf>
    <xf numFmtId="40" fontId="36" fillId="0" borderId="0" xfId="0" applyNumberFormat="1" applyFont="1"/>
    <xf numFmtId="0" fontId="36" fillId="40" borderId="56" xfId="0" applyFont="1" applyFill="1" applyBorder="1"/>
    <xf numFmtId="0" fontId="36" fillId="40" borderId="57" xfId="0" applyFont="1" applyFill="1" applyBorder="1"/>
    <xf numFmtId="40" fontId="36" fillId="40" borderId="58" xfId="0" applyNumberFormat="1" applyFont="1" applyFill="1" applyBorder="1"/>
    <xf numFmtId="0" fontId="38" fillId="0" borderId="0" xfId="0" applyFont="1" applyAlignment="1">
      <alignment horizontal="center" wrapText="1"/>
    </xf>
    <xf numFmtId="17" fontId="36" fillId="0" borderId="59" xfId="0" quotePrefix="1" applyNumberFormat="1" applyFont="1" applyBorder="1" applyAlignment="1">
      <alignment horizontal="center"/>
    </xf>
    <xf numFmtId="0" fontId="36" fillId="0" borderId="0" xfId="0" applyFont="1" applyAlignment="1">
      <alignment horizontal="center"/>
    </xf>
    <xf numFmtId="185" fontId="44" fillId="0" borderId="59" xfId="0" quotePrefix="1" applyNumberFormat="1" applyFont="1" applyBorder="1" applyAlignment="1">
      <alignment horizontal="center"/>
    </xf>
    <xf numFmtId="0" fontId="36" fillId="0" borderId="67" xfId="0" applyFont="1" applyBorder="1"/>
    <xf numFmtId="0" fontId="36" fillId="0" borderId="63" xfId="0" applyFont="1" applyBorder="1"/>
    <xf numFmtId="43" fontId="38" fillId="0" borderId="69" xfId="34" applyFont="1" applyBorder="1"/>
    <xf numFmtId="0" fontId="3" fillId="0" borderId="0" xfId="0" applyFont="1" applyAlignment="1">
      <alignment horizontal="right" vertical="top" wrapText="1"/>
    </xf>
    <xf numFmtId="40" fontId="0" fillId="0" borderId="0" xfId="0" applyNumberFormat="1"/>
    <xf numFmtId="43" fontId="38" fillId="0" borderId="0" xfId="34" applyFont="1"/>
    <xf numFmtId="14" fontId="39" fillId="0" borderId="59" xfId="0" quotePrefix="1" applyNumberFormat="1" applyFont="1" applyBorder="1" applyAlignment="1">
      <alignment horizontal="center"/>
    </xf>
    <xf numFmtId="43" fontId="39" fillId="0" borderId="60" xfId="34" applyFont="1" applyBorder="1"/>
    <xf numFmtId="0" fontId="35" fillId="0" borderId="0" xfId="0" quotePrefix="1" applyFont="1" applyAlignment="1">
      <alignment horizontal="left"/>
    </xf>
    <xf numFmtId="39" fontId="36" fillId="0" borderId="0" xfId="0" applyNumberFormat="1" applyFont="1"/>
    <xf numFmtId="43" fontId="3" fillId="0" borderId="0" xfId="34" applyAlignment="1">
      <alignment horizontal="center"/>
    </xf>
    <xf numFmtId="39" fontId="36" fillId="0" borderId="0" xfId="0" applyNumberFormat="1" applyFont="1" applyAlignment="1">
      <alignment horizontal="center"/>
    </xf>
    <xf numFmtId="43" fontId="0" fillId="0" borderId="0" xfId="34" applyFont="1" applyAlignment="1">
      <alignment horizontal="center"/>
    </xf>
    <xf numFmtId="43" fontId="0" fillId="0" borderId="7" xfId="34" applyFont="1" applyBorder="1" applyAlignment="1">
      <alignment horizontal="center"/>
    </xf>
    <xf numFmtId="43" fontId="3" fillId="0" borderId="7" xfId="34" applyBorder="1" applyAlignment="1">
      <alignment horizontal="center"/>
    </xf>
    <xf numFmtId="43" fontId="36" fillId="0" borderId="0" xfId="34" applyFont="1" applyAlignment="1">
      <alignment horizontal="right"/>
    </xf>
    <xf numFmtId="43" fontId="36" fillId="0" borderId="0" xfId="34" applyFont="1" applyAlignment="1">
      <alignment horizontal="left"/>
    </xf>
    <xf numFmtId="43" fontId="36" fillId="0" borderId="0" xfId="0" applyNumberFormat="1" applyFont="1"/>
    <xf numFmtId="43" fontId="3" fillId="0" borderId="11" xfId="34" applyBorder="1" applyAlignment="1">
      <alignment horizontal="center"/>
    </xf>
    <xf numFmtId="0" fontId="0" fillId="40" borderId="20" xfId="0" applyFill="1" applyBorder="1"/>
    <xf numFmtId="0" fontId="36" fillId="40" borderId="18" xfId="0" applyFont="1" applyFill="1" applyBorder="1" applyAlignment="1">
      <alignment horizontal="center"/>
    </xf>
    <xf numFmtId="39" fontId="36" fillId="40" borderId="18" xfId="0" applyNumberFormat="1" applyFont="1" applyFill="1" applyBorder="1" applyAlignment="1">
      <alignment horizontal="center" wrapText="1"/>
    </xf>
    <xf numFmtId="0" fontId="36" fillId="40" borderId="18" xfId="0" applyFont="1" applyFill="1" applyBorder="1" applyAlignment="1">
      <alignment horizontal="center" wrapText="1"/>
    </xf>
    <xf numFmtId="0" fontId="36" fillId="40" borderId="21" xfId="0" applyFont="1" applyFill="1" applyBorder="1"/>
    <xf numFmtId="0" fontId="0" fillId="40" borderId="17" xfId="0" applyFill="1" applyBorder="1"/>
    <xf numFmtId="0" fontId="36" fillId="40" borderId="7" xfId="0" applyFont="1" applyFill="1" applyBorder="1" applyAlignment="1">
      <alignment horizontal="center"/>
    </xf>
    <xf numFmtId="0" fontId="36" fillId="40" borderId="7" xfId="0" applyFont="1" applyFill="1" applyBorder="1" applyAlignment="1">
      <alignment horizontal="center" wrapText="1"/>
    </xf>
    <xf numFmtId="0" fontId="36" fillId="40" borderId="22" xfId="0" applyFont="1" applyFill="1" applyBorder="1" applyAlignment="1">
      <alignment horizontal="center"/>
    </xf>
    <xf numFmtId="17" fontId="36" fillId="0" borderId="0" xfId="0" applyNumberFormat="1" applyFont="1"/>
    <xf numFmtId="43" fontId="36" fillId="0" borderId="0" xfId="34" applyFont="1" applyAlignment="1">
      <alignment horizontal="center"/>
    </xf>
    <xf numFmtId="43" fontId="36" fillId="0" borderId="0" xfId="0" applyNumberFormat="1" applyFont="1" applyAlignment="1">
      <alignment horizontal="right"/>
    </xf>
    <xf numFmtId="40" fontId="3" fillId="0" borderId="0" xfId="0" applyNumberFormat="1" applyFont="1" applyAlignment="1">
      <alignment horizontal="right"/>
    </xf>
    <xf numFmtId="43" fontId="3" fillId="0" borderId="0" xfId="0" applyNumberFormat="1" applyFont="1" applyAlignment="1">
      <alignment horizontal="right"/>
    </xf>
    <xf numFmtId="40" fontId="44" fillId="0" borderId="0" xfId="0" applyNumberFormat="1" applyFont="1" applyAlignment="1">
      <alignment horizontal="right"/>
    </xf>
    <xf numFmtId="17" fontId="38" fillId="0" borderId="11" xfId="0" applyNumberFormat="1" applyFont="1" applyBorder="1" applyAlignment="1">
      <alignment horizontal="center"/>
    </xf>
    <xf numFmtId="43" fontId="4" fillId="0" borderId="11" xfId="34" applyFont="1" applyBorder="1"/>
    <xf numFmtId="43" fontId="4" fillId="0" borderId="0" xfId="34" applyFont="1"/>
    <xf numFmtId="14" fontId="39" fillId="0" borderId="0" xfId="0" applyNumberFormat="1" applyFont="1" applyAlignment="1">
      <alignment horizontal="center" vertical="top"/>
    </xf>
    <xf numFmtId="0" fontId="38" fillId="40" borderId="59" xfId="0" applyFont="1" applyFill="1" applyBorder="1" applyAlignment="1">
      <alignment horizontal="center" wrapText="1"/>
    </xf>
    <xf numFmtId="0" fontId="38" fillId="40" borderId="0" xfId="0" applyFont="1" applyFill="1" applyAlignment="1">
      <alignment horizontal="center" wrapText="1"/>
    </xf>
    <xf numFmtId="40" fontId="38" fillId="40" borderId="60" xfId="0" applyNumberFormat="1" applyFont="1" applyFill="1" applyBorder="1" applyAlignment="1">
      <alignment horizontal="center" wrapText="1"/>
    </xf>
    <xf numFmtId="186" fontId="64" fillId="0" borderId="0" xfId="95" applyNumberFormat="1" applyFont="1"/>
    <xf numFmtId="0" fontId="64" fillId="0" borderId="0" xfId="95" applyFont="1"/>
    <xf numFmtId="44" fontId="3" fillId="0" borderId="0" xfId="0" applyNumberFormat="1" applyFont="1"/>
    <xf numFmtId="44" fontId="64" fillId="0" borderId="0" xfId="95" applyNumberFormat="1" applyFont="1"/>
    <xf numFmtId="16" fontId="39" fillId="0" borderId="0" xfId="0" applyNumberFormat="1" applyFont="1"/>
    <xf numFmtId="0" fontId="3" fillId="0" borderId="0" xfId="89"/>
    <xf numFmtId="0" fontId="8" fillId="0" borderId="7" xfId="89" applyFont="1" applyBorder="1"/>
    <xf numFmtId="0" fontId="8" fillId="0" borderId="7" xfId="89" applyFont="1" applyBorder="1" applyAlignment="1">
      <alignment horizontal="center"/>
    </xf>
    <xf numFmtId="0" fontId="8" fillId="0" borderId="7" xfId="89" applyFont="1" applyBorder="1" applyAlignment="1">
      <alignment horizontal="center" wrapText="1"/>
    </xf>
    <xf numFmtId="0" fontId="4" fillId="0" borderId="0" xfId="89" applyFont="1"/>
    <xf numFmtId="43" fontId="4" fillId="25" borderId="11" xfId="39" applyFont="1" applyFill="1" applyBorder="1"/>
    <xf numFmtId="43" fontId="3" fillId="0" borderId="0" xfId="89" applyNumberFormat="1"/>
    <xf numFmtId="44" fontId="38" fillId="0" borderId="0" xfId="90" applyNumberFormat="1" applyFont="1"/>
    <xf numFmtId="39" fontId="39" fillId="0" borderId="0" xfId="34" applyNumberFormat="1" applyFont="1"/>
    <xf numFmtId="44" fontId="4" fillId="0" borderId="0" xfId="90" applyNumberFormat="1" applyFont="1"/>
    <xf numFmtId="16" fontId="39" fillId="0" borderId="0" xfId="0" applyNumberFormat="1" applyFont="1" applyAlignment="1">
      <alignment horizontal="left" vertical="top"/>
    </xf>
    <xf numFmtId="43" fontId="39" fillId="0" borderId="60" xfId="34" applyFont="1" applyBorder="1" applyAlignment="1">
      <alignment vertical="top"/>
    </xf>
    <xf numFmtId="0" fontId="39" fillId="44" borderId="0" xfId="90" applyFont="1" applyFill="1"/>
    <xf numFmtId="0" fontId="36" fillId="44" borderId="0" xfId="90" applyFont="1" applyFill="1"/>
    <xf numFmtId="44" fontId="36" fillId="44" borderId="0" xfId="45" applyFont="1" applyFill="1"/>
    <xf numFmtId="0" fontId="38" fillId="44" borderId="57" xfId="90" applyFont="1" applyFill="1" applyBorder="1"/>
    <xf numFmtId="0" fontId="38" fillId="44" borderId="8" xfId="90" applyFont="1" applyFill="1" applyBorder="1" applyAlignment="1">
      <alignment horizontal="center" wrapText="1"/>
    </xf>
    <xf numFmtId="44" fontId="36" fillId="44" borderId="0" xfId="90" applyNumberFormat="1" applyFont="1" applyFill="1"/>
    <xf numFmtId="44" fontId="39" fillId="44" borderId="0" xfId="90" applyNumberFormat="1" applyFont="1" applyFill="1"/>
    <xf numFmtId="0" fontId="39" fillId="44" borderId="63" xfId="90" applyFont="1" applyFill="1" applyBorder="1"/>
    <xf numFmtId="44" fontId="8" fillId="44" borderId="63" xfId="90" applyNumberFormat="1" applyFont="1" applyFill="1" applyBorder="1"/>
    <xf numFmtId="44" fontId="3" fillId="44" borderId="0" xfId="90" applyNumberFormat="1" applyFill="1"/>
    <xf numFmtId="0" fontId="3" fillId="44" borderId="0" xfId="90" applyFill="1"/>
    <xf numFmtId="0" fontId="65" fillId="0" borderId="75" xfId="0" applyFont="1" applyBorder="1"/>
    <xf numFmtId="0" fontId="65" fillId="0" borderId="0" xfId="0" applyFont="1"/>
    <xf numFmtId="0" fontId="66" fillId="0" borderId="0" xfId="0" applyFont="1" applyAlignment="1">
      <alignment horizontal="center"/>
    </xf>
    <xf numFmtId="0" fontId="66" fillId="0" borderId="76" xfId="0" applyFont="1" applyBorder="1"/>
    <xf numFmtId="0" fontId="66" fillId="0" borderId="77" xfId="0" applyFont="1" applyBorder="1"/>
    <xf numFmtId="0" fontId="66" fillId="0" borderId="78" xfId="0" applyFont="1" applyBorder="1"/>
    <xf numFmtId="0" fontId="66" fillId="0" borderId="79" xfId="0" applyFont="1" applyBorder="1" applyAlignment="1">
      <alignment horizontal="center"/>
    </xf>
    <xf numFmtId="0" fontId="66" fillId="0" borderId="80" xfId="0" applyFont="1" applyBorder="1"/>
    <xf numFmtId="0" fontId="66" fillId="0" borderId="81" xfId="0" applyFont="1" applyBorder="1"/>
    <xf numFmtId="0" fontId="66" fillId="45" borderId="82" xfId="0" applyFont="1" applyFill="1" applyBorder="1"/>
    <xf numFmtId="0" fontId="66" fillId="0" borderId="83" xfId="0" applyFont="1" applyBorder="1" applyAlignment="1">
      <alignment horizontal="center"/>
    </xf>
    <xf numFmtId="0" fontId="66" fillId="45" borderId="84" xfId="0" applyFont="1" applyFill="1" applyBorder="1"/>
    <xf numFmtId="0" fontId="65" fillId="0" borderId="85" xfId="0" applyFont="1" applyBorder="1"/>
    <xf numFmtId="187" fontId="65" fillId="0" borderId="86" xfId="0" applyNumberFormat="1" applyFont="1" applyBorder="1"/>
    <xf numFmtId="187" fontId="65" fillId="0" borderId="87" xfId="0" applyNumberFormat="1" applyFont="1" applyBorder="1"/>
    <xf numFmtId="187" fontId="65" fillId="45" borderId="0" xfId="0" applyNumberFormat="1" applyFont="1" applyFill="1"/>
    <xf numFmtId="0" fontId="65" fillId="0" borderId="88" xfId="0" applyFont="1" applyBorder="1"/>
    <xf numFmtId="187" fontId="65" fillId="0" borderId="89" xfId="0" applyNumberFormat="1" applyFont="1" applyBorder="1"/>
    <xf numFmtId="187" fontId="65" fillId="0" borderId="90" xfId="0" applyNumberFormat="1" applyFont="1" applyBorder="1"/>
    <xf numFmtId="0" fontId="65" fillId="0" borderId="91" xfId="0" applyFont="1" applyBorder="1"/>
    <xf numFmtId="0" fontId="66" fillId="0" borderId="92" xfId="0" applyFont="1" applyBorder="1"/>
    <xf numFmtId="0" fontId="66" fillId="0" borderId="93" xfId="0" applyFont="1" applyBorder="1"/>
    <xf numFmtId="187" fontId="66" fillId="0" borderId="94" xfId="0" applyNumberFormat="1" applyFont="1" applyBorder="1"/>
    <xf numFmtId="187" fontId="66" fillId="45" borderId="95" xfId="0" applyNumberFormat="1" applyFont="1" applyFill="1" applyBorder="1"/>
    <xf numFmtId="0" fontId="66" fillId="0" borderId="0" xfId="0" applyFont="1"/>
    <xf numFmtId="0" fontId="62" fillId="0" borderId="0" xfId="0" applyFont="1"/>
    <xf numFmtId="43" fontId="3" fillId="0" borderId="0" xfId="39"/>
    <xf numFmtId="43" fontId="3" fillId="0" borderId="0" xfId="39" applyAlignment="1">
      <alignment horizontal="right"/>
    </xf>
    <xf numFmtId="0" fontId="3" fillId="0" borderId="0" xfId="85" applyAlignment="1">
      <alignment wrapText="1"/>
    </xf>
    <xf numFmtId="0" fontId="3" fillId="0" borderId="3" xfId="89" applyBorder="1" applyAlignment="1">
      <alignment horizontal="left" vertical="center"/>
    </xf>
    <xf numFmtId="43" fontId="3" fillId="0" borderId="3" xfId="39" applyBorder="1" applyAlignment="1">
      <alignment horizontal="left" vertical="center"/>
    </xf>
    <xf numFmtId="0" fontId="3" fillId="0" borderId="3" xfId="89" applyBorder="1" applyAlignment="1">
      <alignment horizontal="left" vertical="center" wrapText="1"/>
    </xf>
    <xf numFmtId="0" fontId="3" fillId="0" borderId="0" xfId="89" applyAlignment="1">
      <alignment vertical="center"/>
    </xf>
    <xf numFmtId="43" fontId="3" fillId="0" borderId="0" xfId="39" applyAlignment="1">
      <alignment horizontal="left"/>
    </xf>
    <xf numFmtId="0" fontId="39" fillId="0" borderId="0" xfId="0" quotePrefix="1" applyFont="1" applyAlignment="1">
      <alignment horizontal="left"/>
    </xf>
    <xf numFmtId="39" fontId="36" fillId="0" borderId="60" xfId="0" applyNumberFormat="1" applyFont="1" applyBorder="1"/>
    <xf numFmtId="14" fontId="39" fillId="0" borderId="0" xfId="0" applyNumberFormat="1" applyFont="1" applyAlignment="1">
      <alignment vertical="center"/>
    </xf>
    <xf numFmtId="0" fontId="39" fillId="0" borderId="0" xfId="0" applyFont="1" applyAlignment="1">
      <alignment vertical="center"/>
    </xf>
    <xf numFmtId="0" fontId="39" fillId="0" borderId="0" xfId="0" applyFont="1" applyAlignment="1">
      <alignment horizontal="left" vertical="center"/>
    </xf>
    <xf numFmtId="44" fontId="39" fillId="0" borderId="0" xfId="0" applyNumberFormat="1" applyFont="1" applyAlignment="1">
      <alignment vertical="center"/>
    </xf>
    <xf numFmtId="39" fontId="39" fillId="0" borderId="60" xfId="0" applyNumberFormat="1" applyFont="1" applyBorder="1" applyAlignment="1">
      <alignment vertical="center" wrapText="1"/>
    </xf>
    <xf numFmtId="44" fontId="39" fillId="0" borderId="0" xfId="0" applyNumberFormat="1" applyFont="1"/>
    <xf numFmtId="44" fontId="8" fillId="0" borderId="63" xfId="0" applyNumberFormat="1" applyFont="1" applyBorder="1"/>
    <xf numFmtId="0" fontId="38" fillId="0" borderId="0" xfId="90" applyFont="1" applyAlignment="1">
      <alignment vertical="top"/>
    </xf>
    <xf numFmtId="44" fontId="39" fillId="0" borderId="60" xfId="34" applyNumberFormat="1" applyFont="1" applyBorder="1"/>
    <xf numFmtId="44" fontId="8" fillId="0" borderId="15" xfId="90" applyNumberFormat="1" applyFont="1" applyBorder="1"/>
    <xf numFmtId="44" fontId="39" fillId="0" borderId="69" xfId="34" applyNumberFormat="1" applyFont="1" applyBorder="1"/>
    <xf numFmtId="40" fontId="38" fillId="40" borderId="62" xfId="0" applyNumberFormat="1" applyFont="1" applyFill="1" applyBorder="1" applyAlignment="1">
      <alignment horizontal="center" wrapText="1"/>
    </xf>
    <xf numFmtId="0" fontId="3" fillId="0" borderId="0" xfId="0" applyFont="1" applyAlignment="1">
      <alignment horizontal="left"/>
    </xf>
    <xf numFmtId="0" fontId="44" fillId="0" borderId="59" xfId="0" applyFont="1" applyBorder="1" applyAlignment="1">
      <alignment horizontal="center"/>
    </xf>
    <xf numFmtId="0" fontId="44" fillId="0" borderId="0" xfId="0" applyFont="1" applyAlignment="1">
      <alignment horizontal="center"/>
    </xf>
    <xf numFmtId="0" fontId="44" fillId="0" borderId="0" xfId="0" quotePrefix="1" applyFont="1" applyAlignment="1">
      <alignment horizontal="left"/>
    </xf>
    <xf numFmtId="0" fontId="44" fillId="0" borderId="0" xfId="0" applyFont="1"/>
    <xf numFmtId="39" fontId="39" fillId="0" borderId="60" xfId="0" applyNumberFormat="1" applyFont="1" applyBorder="1" applyAlignment="1">
      <alignment horizontal="left"/>
    </xf>
    <xf numFmtId="164" fontId="39" fillId="0" borderId="0" xfId="0" applyNumberFormat="1" applyFont="1"/>
    <xf numFmtId="0" fontId="39" fillId="0" borderId="59" xfId="0" applyFont="1" applyBorder="1"/>
    <xf numFmtId="39" fontId="36" fillId="0" borderId="60" xfId="34" applyNumberFormat="1" applyFont="1" applyBorder="1"/>
    <xf numFmtId="0" fontId="39" fillId="0" borderId="67" xfId="0" applyFont="1" applyBorder="1"/>
    <xf numFmtId="39" fontId="38" fillId="0" borderId="69" xfId="34" applyNumberFormat="1" applyFont="1" applyBorder="1"/>
    <xf numFmtId="43" fontId="3" fillId="0" borderId="0" xfId="34" applyAlignment="1">
      <alignment horizontal="left"/>
    </xf>
    <xf numFmtId="188" fontId="36" fillId="0" borderId="0" xfId="0" applyNumberFormat="1" applyFont="1" applyAlignment="1">
      <alignment horizontal="right"/>
    </xf>
    <xf numFmtId="39" fontId="36" fillId="40" borderId="18" xfId="0" applyNumberFormat="1" applyFont="1" applyFill="1" applyBorder="1" applyAlignment="1">
      <alignment horizontal="center" vertical="center"/>
    </xf>
    <xf numFmtId="0" fontId="36" fillId="40" borderId="18" xfId="0" applyFont="1" applyFill="1" applyBorder="1" applyAlignment="1">
      <alignment horizontal="center" vertical="center" wrapText="1"/>
    </xf>
    <xf numFmtId="0" fontId="36" fillId="40" borderId="21" xfId="0" applyFont="1" applyFill="1" applyBorder="1" applyAlignment="1">
      <alignment horizontal="center" vertical="center" wrapText="1"/>
    </xf>
    <xf numFmtId="0" fontId="36" fillId="40" borderId="7" xfId="0" applyFont="1" applyFill="1" applyBorder="1" applyAlignment="1">
      <alignment horizontal="center" vertical="center"/>
    </xf>
    <xf numFmtId="0" fontId="36" fillId="40" borderId="7" xfId="0" applyFont="1" applyFill="1" applyBorder="1" applyAlignment="1">
      <alignment horizontal="center" vertical="center" wrapText="1"/>
    </xf>
    <xf numFmtId="0" fontId="36" fillId="40" borderId="22" xfId="0" applyFont="1" applyFill="1" applyBorder="1" applyAlignment="1">
      <alignment horizontal="center" vertical="center" wrapText="1"/>
    </xf>
    <xf numFmtId="43" fontId="3" fillId="42" borderId="66" xfId="34" applyFill="1" applyBorder="1" applyAlignment="1">
      <alignment horizontal="center" vertical="center"/>
    </xf>
    <xf numFmtId="43" fontId="3" fillId="42" borderId="1" xfId="34" quotePrefix="1" applyFill="1" applyBorder="1" applyAlignment="1">
      <alignment vertical="center"/>
    </xf>
    <xf numFmtId="43" fontId="3" fillId="42" borderId="1" xfId="34" quotePrefix="1" applyFill="1" applyBorder="1" applyAlignment="1">
      <alignment horizontal="center" vertical="center"/>
    </xf>
    <xf numFmtId="13" fontId="3" fillId="42" borderId="70" xfId="34" quotePrefix="1" applyNumberFormat="1" applyFill="1" applyBorder="1" applyAlignment="1">
      <alignment horizontal="center"/>
    </xf>
    <xf numFmtId="0" fontId="0" fillId="0" borderId="0" xfId="0" applyAlignment="1">
      <alignment horizontal="center" vertical="center"/>
    </xf>
    <xf numFmtId="43" fontId="0" fillId="0" borderId="0" xfId="34" applyFont="1" applyAlignment="1">
      <alignment horizontal="center" vertical="center"/>
    </xf>
    <xf numFmtId="0" fontId="0" fillId="0" borderId="11" xfId="0" applyBorder="1"/>
    <xf numFmtId="43" fontId="0" fillId="0" borderId="11" xfId="34" applyFont="1" applyBorder="1"/>
    <xf numFmtId="44" fontId="39" fillId="0" borderId="69" xfId="45" applyFont="1" applyBorder="1"/>
    <xf numFmtId="44" fontId="39" fillId="0" borderId="60" xfId="45" applyFont="1" applyBorder="1"/>
    <xf numFmtId="0" fontId="39" fillId="0" borderId="0" xfId="90" applyFont="1" applyAlignment="1">
      <alignment vertical="top"/>
    </xf>
    <xf numFmtId="44" fontId="39" fillId="0" borderId="0" xfId="0" applyNumberFormat="1" applyFont="1" applyAlignment="1">
      <alignment vertical="top"/>
    </xf>
    <xf numFmtId="39" fontId="39" fillId="0" borderId="60" xfId="0" applyNumberFormat="1" applyFont="1" applyBorder="1" applyAlignment="1">
      <alignment vertical="justify" wrapText="1"/>
    </xf>
    <xf numFmtId="3" fontId="36" fillId="0" borderId="0" xfId="0" applyNumberFormat="1" applyFont="1"/>
    <xf numFmtId="0" fontId="40" fillId="0" borderId="0" xfId="90" applyFont="1" applyAlignment="1">
      <alignment horizontal="left"/>
    </xf>
    <xf numFmtId="44" fontId="66" fillId="46" borderId="96" xfId="0" applyNumberFormat="1" applyFont="1" applyFill="1" applyBorder="1" applyAlignment="1">
      <alignment horizontal="center"/>
    </xf>
    <xf numFmtId="44" fontId="66" fillId="47" borderId="97" xfId="0" applyNumberFormat="1" applyFont="1" applyFill="1" applyBorder="1" applyAlignment="1">
      <alignment horizontal="center"/>
    </xf>
    <xf numFmtId="44" fontId="66" fillId="0" borderId="0" xfId="0" applyNumberFormat="1" applyFont="1" applyAlignment="1">
      <alignment horizontal="center"/>
    </xf>
    <xf numFmtId="43" fontId="36" fillId="0" borderId="7" xfId="34" applyFont="1" applyBorder="1"/>
    <xf numFmtId="44" fontId="36" fillId="0" borderId="7" xfId="90" applyNumberFormat="1" applyFont="1" applyBorder="1"/>
    <xf numFmtId="43" fontId="38" fillId="0" borderId="0" xfId="90" applyNumberFormat="1" applyFont="1"/>
    <xf numFmtId="43" fontId="67" fillId="0" borderId="0" xfId="34" applyFont="1"/>
    <xf numFmtId="0" fontId="65" fillId="0" borderId="0" xfId="0" quotePrefix="1" applyFont="1"/>
    <xf numFmtId="44" fontId="69" fillId="0" borderId="0" xfId="0" applyNumberFormat="1" applyFont="1"/>
    <xf numFmtId="0" fontId="69" fillId="0" borderId="0" xfId="0" applyFont="1" applyAlignment="1">
      <alignment horizontal="left"/>
    </xf>
    <xf numFmtId="0" fontId="3" fillId="0" borderId="60" xfId="93" applyFont="1" applyBorder="1" applyAlignment="1">
      <alignment horizontal="left" wrapText="1"/>
    </xf>
    <xf numFmtId="14" fontId="3" fillId="0" borderId="59" xfId="93" quotePrefix="1" applyNumberFormat="1" applyFont="1" applyBorder="1" applyAlignment="1">
      <alignment horizontal="center" vertical="center"/>
    </xf>
    <xf numFmtId="0" fontId="3" fillId="0" borderId="0" xfId="93" applyFont="1" applyAlignment="1">
      <alignment vertical="center"/>
    </xf>
    <xf numFmtId="0" fontId="3" fillId="0" borderId="0" xfId="93" applyFont="1" applyAlignment="1">
      <alignment horizontal="center" vertical="center"/>
    </xf>
    <xf numFmtId="39" fontId="3" fillId="0" borderId="0" xfId="93" applyNumberFormat="1" applyFont="1" applyAlignment="1">
      <alignment horizontal="right" vertical="center"/>
    </xf>
    <xf numFmtId="43" fontId="39" fillId="0" borderId="0" xfId="34" applyFont="1"/>
    <xf numFmtId="39" fontId="40" fillId="0" borderId="60" xfId="34" applyNumberFormat="1" applyFont="1" applyBorder="1"/>
    <xf numFmtId="0" fontId="36" fillId="0" borderId="0" xfId="90" applyFont="1" applyAlignment="1">
      <alignment vertical="top"/>
    </xf>
    <xf numFmtId="14" fontId="38" fillId="0" borderId="59" xfId="90" quotePrefix="1" applyNumberFormat="1" applyFont="1" applyBorder="1" applyAlignment="1">
      <alignment horizontal="center" vertical="top"/>
    </xf>
    <xf numFmtId="0" fontId="38" fillId="0" borderId="0" xfId="90" applyFont="1" applyAlignment="1">
      <alignment horizontal="left"/>
    </xf>
    <xf numFmtId="44" fontId="39" fillId="42" borderId="69" xfId="45" applyFont="1" applyFill="1" applyBorder="1"/>
    <xf numFmtId="44" fontId="39" fillId="48" borderId="69" xfId="45" applyFont="1" applyFill="1" applyBorder="1"/>
    <xf numFmtId="14" fontId="38" fillId="0" borderId="59" xfId="90" quotePrefix="1" applyNumberFormat="1" applyFont="1" applyBorder="1" applyAlignment="1">
      <alignment horizontal="center" vertical="center"/>
    </xf>
    <xf numFmtId="0" fontId="39" fillId="0" borderId="0" xfId="90" applyFont="1" applyAlignment="1">
      <alignment vertical="center"/>
    </xf>
    <xf numFmtId="0" fontId="38" fillId="0" borderId="0" xfId="90" applyFont="1" applyAlignment="1">
      <alignment horizontal="left" vertical="center"/>
    </xf>
    <xf numFmtId="44" fontId="38" fillId="0" borderId="0" xfId="90" applyNumberFormat="1" applyFont="1" applyAlignment="1">
      <alignment vertical="center"/>
    </xf>
    <xf numFmtId="44" fontId="39" fillId="0" borderId="60" xfId="45" applyFont="1" applyBorder="1" applyAlignment="1">
      <alignment vertical="center"/>
    </xf>
    <xf numFmtId="0" fontId="36" fillId="0" borderId="0" xfId="90" applyFont="1" applyAlignment="1">
      <alignment vertical="center" wrapText="1"/>
    </xf>
    <xf numFmtId="44" fontId="36" fillId="48" borderId="0" xfId="90" applyNumberFormat="1" applyFont="1" applyFill="1" applyAlignment="1">
      <alignment vertical="center"/>
    </xf>
    <xf numFmtId="0" fontId="0" fillId="0" borderId="56" xfId="0" applyBorder="1"/>
    <xf numFmtId="0" fontId="0" fillId="0" borderId="59" xfId="0" applyBorder="1"/>
    <xf numFmtId="0" fontId="0" fillId="0" borderId="60" xfId="0" applyBorder="1"/>
    <xf numFmtId="0" fontId="0" fillId="0" borderId="59" xfId="0" quotePrefix="1" applyBorder="1"/>
    <xf numFmtId="0" fontId="63" fillId="0" borderId="59" xfId="0" quotePrefix="1" applyFont="1" applyBorder="1"/>
    <xf numFmtId="0" fontId="63" fillId="0" borderId="59" xfId="0" applyFont="1" applyBorder="1"/>
    <xf numFmtId="0" fontId="3" fillId="0" borderId="60" xfId="0" applyFont="1" applyBorder="1"/>
    <xf numFmtId="0" fontId="0" fillId="0" borderId="61" xfId="0" quotePrefix="1" applyBorder="1"/>
    <xf numFmtId="0" fontId="0" fillId="0" borderId="8" xfId="0" applyBorder="1" applyAlignment="1">
      <alignment horizontal="center"/>
    </xf>
    <xf numFmtId="0" fontId="0" fillId="0" borderId="62" xfId="0" applyBorder="1"/>
    <xf numFmtId="0" fontId="3" fillId="0" borderId="0" xfId="0" quotePrefix="1" applyFont="1"/>
    <xf numFmtId="0" fontId="0" fillId="0" borderId="59" xfId="0" quotePrefix="1" applyBorder="1" applyAlignment="1">
      <alignment vertical="center"/>
    </xf>
    <xf numFmtId="0" fontId="0" fillId="0" borderId="60" xfId="0" applyBorder="1" applyAlignment="1">
      <alignment horizontal="left" vertical="top" wrapText="1"/>
    </xf>
    <xf numFmtId="0" fontId="0" fillId="42" borderId="0" xfId="0" applyFill="1" applyAlignment="1">
      <alignment vertical="center"/>
    </xf>
    <xf numFmtId="0" fontId="0" fillId="42" borderId="0" xfId="0" applyFill="1"/>
    <xf numFmtId="0" fontId="67" fillId="0" borderId="0" xfId="0" quotePrefix="1" applyFont="1" applyAlignment="1">
      <alignment horizontal="center" vertical="center"/>
    </xf>
    <xf numFmtId="0" fontId="40" fillId="0" borderId="0" xfId="0" applyFont="1"/>
    <xf numFmtId="0" fontId="40" fillId="0" borderId="0" xfId="0" applyFont="1" applyAlignment="1">
      <alignment horizontal="left"/>
    </xf>
    <xf numFmtId="0" fontId="36" fillId="40" borderId="7" xfId="0" applyFont="1" applyFill="1" applyBorder="1" applyAlignment="1">
      <alignment horizontal="center" vertical="top"/>
    </xf>
    <xf numFmtId="43" fontId="63" fillId="0" borderId="60" xfId="0" applyNumberFormat="1" applyFont="1" applyBorder="1"/>
    <xf numFmtId="44" fontId="39" fillId="0" borderId="72" xfId="0" applyNumberFormat="1" applyFont="1" applyBorder="1"/>
    <xf numFmtId="14" fontId="40" fillId="0" borderId="59" xfId="0" quotePrefix="1" applyNumberFormat="1" applyFont="1" applyBorder="1" applyAlignment="1">
      <alignment horizontal="center"/>
    </xf>
    <xf numFmtId="14" fontId="40" fillId="0" borderId="59" xfId="0" quotePrefix="1" applyNumberFormat="1" applyFont="1" applyBorder="1" applyAlignment="1">
      <alignment horizontal="center" vertical="top"/>
    </xf>
    <xf numFmtId="43" fontId="3" fillId="0" borderId="0" xfId="0" applyNumberFormat="1" applyFont="1"/>
    <xf numFmtId="9" fontId="39" fillId="0" borderId="0" xfId="97" applyFont="1"/>
    <xf numFmtId="0" fontId="70" fillId="0" borderId="0" xfId="0" applyFont="1"/>
    <xf numFmtId="0" fontId="71" fillId="0" borderId="0" xfId="0" applyFont="1"/>
    <xf numFmtId="44" fontId="8" fillId="0" borderId="0" xfId="0" applyNumberFormat="1" applyFont="1"/>
    <xf numFmtId="0" fontId="17" fillId="0" borderId="8" xfId="86" applyBorder="1"/>
    <xf numFmtId="0" fontId="17" fillId="0" borderId="0" xfId="86"/>
    <xf numFmtId="0" fontId="0" fillId="0" borderId="57" xfId="0" applyBorder="1"/>
    <xf numFmtId="0" fontId="0" fillId="0" borderId="58" xfId="0" applyBorder="1"/>
    <xf numFmtId="0" fontId="3" fillId="25" borderId="47" xfId="0" applyFont="1" applyFill="1" applyBorder="1"/>
    <xf numFmtId="0" fontId="3" fillId="25" borderId="46" xfId="0" applyFont="1" applyFill="1" applyBorder="1"/>
    <xf numFmtId="0" fontId="3" fillId="0" borderId="13" xfId="0" applyFont="1" applyBorder="1" applyAlignment="1">
      <alignment horizontal="left"/>
    </xf>
    <xf numFmtId="43" fontId="3" fillId="0" borderId="13" xfId="34" applyFont="1" applyBorder="1"/>
    <xf numFmtId="0" fontId="3" fillId="0" borderId="59" xfId="0" applyFont="1" applyBorder="1" applyAlignment="1">
      <alignment horizontal="left"/>
    </xf>
    <xf numFmtId="0" fontId="3" fillId="25" borderId="12" xfId="0" applyFont="1" applyFill="1" applyBorder="1"/>
    <xf numFmtId="171" fontId="3" fillId="0" borderId="14" xfId="0" applyNumberFormat="1" applyFont="1" applyBorder="1" applyAlignment="1">
      <alignment horizontal="center"/>
    </xf>
    <xf numFmtId="171" fontId="3" fillId="0" borderId="42" xfId="0" applyNumberFormat="1" applyFont="1" applyBorder="1" applyAlignment="1">
      <alignment horizontal="center"/>
    </xf>
    <xf numFmtId="43" fontId="3" fillId="0" borderId="42" xfId="0" applyNumberFormat="1" applyFont="1" applyBorder="1" applyAlignment="1">
      <alignment horizontal="center"/>
    </xf>
    <xf numFmtId="41" fontId="3" fillId="0" borderId="3" xfId="0" applyNumberFormat="1" applyFont="1" applyBorder="1" applyAlignment="1">
      <alignment horizontal="center"/>
    </xf>
    <xf numFmtId="171" fontId="3" fillId="0" borderId="3" xfId="0" applyNumberFormat="1" applyFont="1" applyBorder="1" applyAlignment="1">
      <alignment horizontal="center"/>
    </xf>
    <xf numFmtId="174" fontId="3" fillId="0" borderId="3" xfId="0" quotePrefix="1" applyNumberFormat="1" applyFont="1" applyBorder="1" applyAlignment="1">
      <alignment horizontal="left"/>
    </xf>
    <xf numFmtId="43" fontId="3" fillId="0" borderId="13" xfId="0" applyNumberFormat="1" applyFont="1" applyBorder="1" applyAlignment="1">
      <alignment horizontal="center"/>
    </xf>
    <xf numFmtId="171" fontId="3" fillId="42" borderId="13" xfId="0" applyNumberFormat="1" applyFont="1" applyFill="1" applyBorder="1" applyAlignment="1">
      <alignment horizontal="center"/>
    </xf>
    <xf numFmtId="43" fontId="3" fillId="42" borderId="13" xfId="0" applyNumberFormat="1" applyFont="1" applyFill="1" applyBorder="1" applyAlignment="1">
      <alignment horizontal="center"/>
    </xf>
    <xf numFmtId="43" fontId="3" fillId="0" borderId="13" xfId="34" applyFont="1" applyBorder="1" applyAlignment="1">
      <alignment horizontal="center"/>
    </xf>
    <xf numFmtId="41" fontId="3" fillId="0" borderId="13" xfId="0" applyNumberFormat="1" applyFont="1" applyBorder="1" applyAlignment="1">
      <alignment horizontal="center"/>
    </xf>
    <xf numFmtId="0" fontId="40" fillId="0" borderId="0" xfId="0" applyFont="1" applyAlignment="1">
      <alignment horizontal="center" vertical="top"/>
    </xf>
    <xf numFmtId="0" fontId="0" fillId="0" borderId="0" xfId="34" applyNumberFormat="1" applyFont="1" applyAlignment="1">
      <alignment horizontal="center" vertical="center"/>
    </xf>
    <xf numFmtId="0" fontId="1" fillId="0" borderId="0" xfId="0" applyFont="1"/>
    <xf numFmtId="43" fontId="36" fillId="0" borderId="0" xfId="34" applyFont="1" applyFill="1"/>
    <xf numFmtId="0" fontId="72" fillId="0" borderId="0" xfId="170"/>
    <xf numFmtId="44" fontId="3" fillId="0" borderId="0" xfId="90" applyNumberFormat="1"/>
    <xf numFmtId="44" fontId="1" fillId="0" borderId="0" xfId="90" applyNumberFormat="1" applyFont="1"/>
    <xf numFmtId="173" fontId="1" fillId="0" borderId="0" xfId="0" quotePrefix="1" applyNumberFormat="1" applyFont="1" applyAlignment="1">
      <alignment horizontal="center" vertical="center"/>
    </xf>
    <xf numFmtId="0" fontId="1" fillId="0" borderId="59" xfId="0" applyFont="1" applyBorder="1" applyAlignment="1">
      <alignment horizontal="center"/>
    </xf>
    <xf numFmtId="0" fontId="1" fillId="0" borderId="0" xfId="0" applyFont="1" applyAlignment="1">
      <alignment horizontal="left"/>
    </xf>
    <xf numFmtId="43" fontId="3" fillId="0" borderId="0" xfId="34" applyFont="1" applyFill="1"/>
    <xf numFmtId="188" fontId="0" fillId="0" borderId="0" xfId="34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0" borderId="8" xfId="91" applyFont="1" applyBorder="1" applyAlignment="1">
      <alignment horizont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9" fontId="0" fillId="0" borderId="0" xfId="97" applyFont="1"/>
    <xf numFmtId="0" fontId="36" fillId="0" borderId="0" xfId="0" applyFont="1" applyAlignment="1">
      <alignment horizontal="right"/>
    </xf>
    <xf numFmtId="0" fontId="3" fillId="0" borderId="0" xfId="89" applyAlignment="1">
      <alignment horizontal="right"/>
    </xf>
    <xf numFmtId="43" fontId="8" fillId="0" borderId="3" xfId="39" applyFont="1" applyBorder="1" applyAlignment="1">
      <alignment horizontal="left" vertical="center"/>
    </xf>
    <xf numFmtId="43" fontId="74" fillId="25" borderId="11" xfId="39" applyFont="1" applyFill="1" applyBorder="1"/>
    <xf numFmtId="16" fontId="39" fillId="0" borderId="59" xfId="0" applyNumberFormat="1" applyFont="1" applyBorder="1"/>
    <xf numFmtId="0" fontId="0" fillId="49" borderId="0" xfId="0" quotePrefix="1" applyFill="1"/>
    <xf numFmtId="43" fontId="36" fillId="0" borderId="0" xfId="90" applyNumberFormat="1" applyFont="1"/>
    <xf numFmtId="43" fontId="3" fillId="42" borderId="3" xfId="39" applyFill="1" applyBorder="1" applyAlignment="1">
      <alignment horizontal="left" vertical="center"/>
    </xf>
    <xf numFmtId="0" fontId="3" fillId="42" borderId="3" xfId="89" applyFill="1" applyBorder="1" applyAlignment="1">
      <alignment horizontal="left" vertical="center"/>
    </xf>
    <xf numFmtId="43" fontId="0" fillId="42" borderId="0" xfId="34" applyFont="1" applyFill="1"/>
    <xf numFmtId="0" fontId="8" fillId="0" borderId="3" xfId="89" applyFont="1" applyBorder="1" applyAlignment="1">
      <alignment horizontal="left" vertical="center" wrapText="1"/>
    </xf>
    <xf numFmtId="43" fontId="8" fillId="0" borderId="3" xfId="39" applyFont="1" applyFill="1" applyBorder="1" applyAlignment="1">
      <alignment horizontal="left" vertical="center"/>
    </xf>
    <xf numFmtId="43" fontId="3" fillId="0" borderId="0" xfId="34" applyFont="1"/>
    <xf numFmtId="0" fontId="0" fillId="42" borderId="0" xfId="0" applyFill="1" applyAlignment="1">
      <alignment horizontal="center"/>
    </xf>
    <xf numFmtId="44" fontId="38" fillId="0" borderId="0" xfId="0" applyNumberFormat="1" applyFont="1"/>
    <xf numFmtId="0" fontId="3" fillId="0" borderId="0" xfId="0" applyFont="1" applyAlignment="1">
      <alignment wrapText="1"/>
    </xf>
    <xf numFmtId="0" fontId="3" fillId="0" borderId="0" xfId="0" applyFont="1" applyAlignment="1">
      <alignment horizontal="left" wrapText="1"/>
    </xf>
    <xf numFmtId="0" fontId="67" fillId="0" borderId="0" xfId="0" applyFont="1"/>
    <xf numFmtId="4" fontId="3" fillId="0" borderId="0" xfId="0" applyNumberFormat="1" applyFont="1"/>
    <xf numFmtId="4" fontId="36" fillId="0" borderId="0" xfId="0" applyNumberFormat="1" applyFont="1"/>
    <xf numFmtId="0" fontId="4" fillId="0" borderId="0" xfId="0" quotePrefix="1" applyFont="1" applyAlignment="1">
      <alignment horizontal="right" vertical="center"/>
    </xf>
    <xf numFmtId="14" fontId="40" fillId="0" borderId="0" xfId="0" quotePrefix="1" applyNumberFormat="1" applyFont="1" applyAlignment="1">
      <alignment horizontal="center" vertical="top"/>
    </xf>
    <xf numFmtId="0" fontId="77" fillId="0" borderId="68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14" fontId="38" fillId="42" borderId="59" xfId="90" quotePrefix="1" applyNumberFormat="1" applyFont="1" applyFill="1" applyBorder="1" applyAlignment="1">
      <alignment horizontal="center" vertical="top"/>
    </xf>
    <xf numFmtId="0" fontId="39" fillId="42" borderId="0" xfId="90" applyFont="1" applyFill="1"/>
    <xf numFmtId="0" fontId="38" fillId="42" borderId="0" xfId="90" applyFont="1" applyFill="1" applyAlignment="1">
      <alignment horizontal="left"/>
    </xf>
    <xf numFmtId="44" fontId="38" fillId="42" borderId="0" xfId="90" applyNumberFormat="1" applyFont="1" applyFill="1"/>
    <xf numFmtId="44" fontId="39" fillId="42" borderId="60" xfId="45" applyFont="1" applyFill="1" applyBorder="1"/>
    <xf numFmtId="189" fontId="0" fillId="0" borderId="11" xfId="34" applyNumberFormat="1" applyFont="1" applyBorder="1"/>
    <xf numFmtId="14" fontId="39" fillId="0" borderId="0" xfId="0" quotePrefix="1" applyNumberFormat="1" applyFont="1" applyAlignment="1">
      <alignment horizontal="center"/>
    </xf>
    <xf numFmtId="0" fontId="77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  <xf numFmtId="44" fontId="39" fillId="0" borderId="60" xfId="45" applyFont="1" applyFill="1" applyBorder="1"/>
    <xf numFmtId="8" fontId="36" fillId="0" borderId="0" xfId="90" applyNumberFormat="1" applyFont="1"/>
    <xf numFmtId="8" fontId="3" fillId="0" borderId="60" xfId="0" applyNumberFormat="1" applyFont="1" applyBorder="1" applyAlignment="1">
      <alignment vertical="center"/>
    </xf>
    <xf numFmtId="14" fontId="0" fillId="0" borderId="0" xfId="0" applyNumberFormat="1" applyAlignment="1">
      <alignment horizontal="center"/>
    </xf>
    <xf numFmtId="14" fontId="3" fillId="0" borderId="0" xfId="0" applyNumberFormat="1" applyFont="1" applyAlignment="1">
      <alignment horizontal="center"/>
    </xf>
    <xf numFmtId="0" fontId="69" fillId="0" borderId="0" xfId="90" applyFont="1"/>
    <xf numFmtId="14" fontId="8" fillId="0" borderId="0" xfId="0" applyNumberFormat="1" applyFont="1" applyAlignment="1">
      <alignment horizontal="center"/>
    </xf>
    <xf numFmtId="0" fontId="11" fillId="0" borderId="0" xfId="0" applyFont="1"/>
    <xf numFmtId="14" fontId="0" fillId="42" borderId="0" xfId="0" applyNumberFormat="1" applyFill="1" applyAlignment="1">
      <alignment horizontal="center"/>
    </xf>
    <xf numFmtId="0" fontId="3" fillId="42" borderId="0" xfId="0" applyFont="1" applyFill="1"/>
    <xf numFmtId="44" fontId="0" fillId="42" borderId="0" xfId="0" applyNumberFormat="1" applyFill="1"/>
    <xf numFmtId="44" fontId="0" fillId="0" borderId="0" xfId="45" applyFont="1"/>
    <xf numFmtId="0" fontId="36" fillId="0" borderId="56" xfId="90" quotePrefix="1" applyFont="1" applyBorder="1" applyAlignment="1">
      <alignment horizontal="center"/>
    </xf>
    <xf numFmtId="0" fontId="36" fillId="0" borderId="57" xfId="90" applyFont="1" applyBorder="1"/>
    <xf numFmtId="39" fontId="36" fillId="0" borderId="58" xfId="90" applyNumberFormat="1" applyFont="1" applyBorder="1"/>
    <xf numFmtId="14" fontId="39" fillId="0" borderId="59" xfId="0" applyNumberFormat="1" applyFont="1" applyBorder="1" applyAlignment="1">
      <alignment horizontal="center" vertical="top"/>
    </xf>
    <xf numFmtId="14" fontId="4" fillId="0" borderId="59" xfId="0" applyNumberFormat="1" applyFont="1" applyBorder="1" applyAlignment="1">
      <alignment horizontal="center"/>
    </xf>
    <xf numFmtId="44" fontId="4" fillId="0" borderId="0" xfId="0" applyNumberFormat="1" applyFont="1"/>
    <xf numFmtId="44" fontId="8" fillId="0" borderId="69" xfId="90" applyNumberFormat="1" applyFont="1" applyBorder="1"/>
    <xf numFmtId="43" fontId="67" fillId="0" borderId="0" xfId="34" applyFont="1" applyFill="1"/>
    <xf numFmtId="4" fontId="36" fillId="0" borderId="0" xfId="90" applyNumberFormat="1" applyFont="1"/>
    <xf numFmtId="43" fontId="80" fillId="0" borderId="0" xfId="34" applyFont="1" applyFill="1" applyBorder="1"/>
    <xf numFmtId="4" fontId="81" fillId="0" borderId="0" xfId="171" applyNumberFormat="1" applyFont="1" applyFill="1" applyBorder="1"/>
    <xf numFmtId="0" fontId="36" fillId="0" borderId="0" xfId="0" applyFont="1" applyAlignment="1">
      <alignment vertical="top"/>
    </xf>
    <xf numFmtId="0" fontId="4" fillId="0" borderId="68" xfId="0" applyFont="1" applyBorder="1" applyAlignment="1">
      <alignment horizontal="left" vertical="center" wrapText="1"/>
    </xf>
    <xf numFmtId="0" fontId="36" fillId="0" borderId="3" xfId="90" applyFont="1" applyBorder="1"/>
    <xf numFmtId="44" fontId="36" fillId="0" borderId="3" xfId="90" applyNumberFormat="1" applyFont="1" applyBorder="1"/>
    <xf numFmtId="44" fontId="39" fillId="0" borderId="3" xfId="90" applyNumberFormat="1" applyFont="1" applyBorder="1"/>
    <xf numFmtId="14" fontId="1" fillId="0" borderId="0" xfId="0" quotePrefix="1" applyNumberFormat="1" applyFont="1" applyAlignment="1">
      <alignment horizontal="center" vertical="center"/>
    </xf>
    <xf numFmtId="0" fontId="68" fillId="0" borderId="0" xfId="0" applyFont="1"/>
    <xf numFmtId="43" fontId="1" fillId="0" borderId="0" xfId="34" applyFont="1" applyFill="1"/>
    <xf numFmtId="44" fontId="39" fillId="0" borderId="0" xfId="34" applyNumberFormat="1" applyFont="1" applyBorder="1"/>
    <xf numFmtId="44" fontId="0" fillId="42" borderId="0" xfId="45" applyFont="1" applyFill="1"/>
    <xf numFmtId="8" fontId="82" fillId="0" borderId="60" xfId="0" applyNumberFormat="1" applyFont="1" applyBorder="1" applyAlignment="1">
      <alignment vertical="center"/>
    </xf>
    <xf numFmtId="14" fontId="36" fillId="0" borderId="0" xfId="0" applyNumberFormat="1" applyFont="1"/>
    <xf numFmtId="0" fontId="4" fillId="0" borderId="0" xfId="93" applyFont="1"/>
    <xf numFmtId="0" fontId="36" fillId="0" borderId="56" xfId="90" applyFont="1" applyBorder="1"/>
    <xf numFmtId="0" fontId="36" fillId="0" borderId="58" xfId="90" applyFont="1" applyBorder="1"/>
    <xf numFmtId="0" fontId="38" fillId="40" borderId="3" xfId="90" applyFont="1" applyFill="1" applyBorder="1" applyAlignment="1">
      <alignment horizontal="center" wrapText="1"/>
    </xf>
    <xf numFmtId="0" fontId="38" fillId="40" borderId="3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center" wrapText="1"/>
    </xf>
    <xf numFmtId="43" fontId="53" fillId="0" borderId="0" xfId="34" applyFont="1"/>
    <xf numFmtId="0" fontId="4" fillId="40" borderId="56" xfId="93" applyFont="1" applyFill="1" applyBorder="1" applyAlignment="1">
      <alignment horizontal="center"/>
    </xf>
    <xf numFmtId="0" fontId="4" fillId="40" borderId="57" xfId="93" applyFont="1" applyFill="1" applyBorder="1" applyAlignment="1">
      <alignment horizontal="center"/>
    </xf>
    <xf numFmtId="39" fontId="4" fillId="40" borderId="58" xfId="93" applyNumberFormat="1" applyFont="1" applyFill="1" applyBorder="1" applyAlignment="1">
      <alignment horizontal="center"/>
    </xf>
    <xf numFmtId="14" fontId="4" fillId="0" borderId="56" xfId="93" applyNumberFormat="1" applyFont="1" applyBorder="1" applyAlignment="1">
      <alignment horizontal="right"/>
    </xf>
    <xf numFmtId="0" fontId="3" fillId="0" borderId="57" xfId="93" applyFont="1" applyBorder="1"/>
    <xf numFmtId="0" fontId="4" fillId="0" borderId="57" xfId="93" applyFont="1" applyBorder="1" applyAlignment="1">
      <alignment horizontal="center"/>
    </xf>
    <xf numFmtId="3" fontId="3" fillId="0" borderId="57" xfId="94" applyBorder="1"/>
    <xf numFmtId="49" fontId="78" fillId="0" borderId="58" xfId="0" applyNumberFormat="1" applyFont="1" applyBorder="1" applyAlignment="1">
      <alignment horizontal="left"/>
    </xf>
    <xf numFmtId="14" fontId="78" fillId="0" borderId="59" xfId="0" applyNumberFormat="1" applyFont="1" applyBorder="1" applyAlignment="1">
      <alignment horizontal="right"/>
    </xf>
    <xf numFmtId="0" fontId="38" fillId="0" borderId="59" xfId="0" applyFont="1" applyBorder="1" applyAlignment="1">
      <alignment horizontal="center" wrapText="1"/>
    </xf>
    <xf numFmtId="0" fontId="3" fillId="0" borderId="59" xfId="0" applyFont="1" applyBorder="1" applyAlignment="1">
      <alignment horizontal="center"/>
    </xf>
    <xf numFmtId="43" fontId="53" fillId="0" borderId="0" xfId="93" applyNumberFormat="1"/>
    <xf numFmtId="0" fontId="0" fillId="42" borderId="0" xfId="34" applyNumberFormat="1" applyFont="1" applyFill="1" applyAlignment="1">
      <alignment vertical="center"/>
    </xf>
    <xf numFmtId="16" fontId="0" fillId="0" borderId="0" xfId="0" quotePrefix="1" applyNumberFormat="1"/>
    <xf numFmtId="14" fontId="40" fillId="0" borderId="0" xfId="0" applyNumberFormat="1" applyFont="1"/>
    <xf numFmtId="14" fontId="40" fillId="0" borderId="59" xfId="90" quotePrefix="1" applyNumberFormat="1" applyFont="1" applyBorder="1" applyAlignment="1">
      <alignment horizontal="center" vertical="top"/>
    </xf>
    <xf numFmtId="43" fontId="38" fillId="0" borderId="0" xfId="34" applyFont="1" applyAlignment="1">
      <alignment horizontal="center" wrapText="1"/>
    </xf>
    <xf numFmtId="40" fontId="4" fillId="0" borderId="0" xfId="0" applyNumberFormat="1" applyFont="1"/>
    <xf numFmtId="1" fontId="3" fillId="0" borderId="0" xfId="0" applyNumberFormat="1" applyFont="1"/>
    <xf numFmtId="16" fontId="3" fillId="0" borderId="0" xfId="0" quotePrefix="1" applyNumberFormat="1" applyFont="1"/>
    <xf numFmtId="8" fontId="36" fillId="0" borderId="0" xfId="0" applyNumberFormat="1" applyFont="1"/>
    <xf numFmtId="0" fontId="1" fillId="0" borderId="59" xfId="0" applyFont="1" applyBorder="1" applyAlignment="1">
      <alignment horizontal="center" vertical="center"/>
    </xf>
    <xf numFmtId="14" fontId="3" fillId="0" borderId="0" xfId="0" applyNumberFormat="1" applyFont="1"/>
    <xf numFmtId="2" fontId="3" fillId="0" borderId="0" xfId="0" applyNumberFormat="1" applyFont="1"/>
    <xf numFmtId="17" fontId="63" fillId="0" borderId="59" xfId="0" quotePrefix="1" applyNumberFormat="1" applyFont="1" applyBorder="1" applyAlignment="1">
      <alignment horizontal="center"/>
    </xf>
    <xf numFmtId="4" fontId="1" fillId="0" borderId="0" xfId="0" applyNumberFormat="1" applyFont="1"/>
    <xf numFmtId="17" fontId="36" fillId="0" borderId="59" xfId="0" quotePrefix="1" applyNumberFormat="1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63" fillId="0" borderId="0" xfId="0" applyFont="1" applyAlignment="1">
      <alignment vertical="center" wrapText="1"/>
    </xf>
    <xf numFmtId="0" fontId="36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6" fontId="1" fillId="0" borderId="0" xfId="0" applyNumberFormat="1" applyFont="1"/>
    <xf numFmtId="0" fontId="8" fillId="0" borderId="7" xfId="89" applyFont="1" applyBorder="1" applyAlignment="1">
      <alignment vertical="center"/>
    </xf>
    <xf numFmtId="0" fontId="8" fillId="0" borderId="7" xfId="89" applyFont="1" applyBorder="1" applyAlignment="1">
      <alignment horizontal="center" vertical="center"/>
    </xf>
    <xf numFmtId="0" fontId="8" fillId="0" borderId="7" xfId="89" applyFont="1" applyBorder="1" applyAlignment="1">
      <alignment horizontal="center" vertical="center" wrapText="1"/>
    </xf>
    <xf numFmtId="0" fontId="3" fillId="0" borderId="0" xfId="89" applyAlignment="1">
      <alignment horizontal="right" vertical="center"/>
    </xf>
    <xf numFmtId="43" fontId="3" fillId="0" borderId="0" xfId="89" applyNumberFormat="1" applyAlignment="1">
      <alignment vertical="center"/>
    </xf>
    <xf numFmtId="0" fontId="83" fillId="0" borderId="0" xfId="172"/>
    <xf numFmtId="0" fontId="83" fillId="0" borderId="0" xfId="0" applyFont="1"/>
    <xf numFmtId="0" fontId="79" fillId="0" borderId="0" xfId="0" applyFont="1"/>
    <xf numFmtId="0" fontId="84" fillId="0" borderId="0" xfId="0" applyFont="1"/>
    <xf numFmtId="4" fontId="84" fillId="0" borderId="0" xfId="0" applyNumberFormat="1" applyFont="1"/>
    <xf numFmtId="0" fontId="78" fillId="0" borderId="0" xfId="0" applyFont="1"/>
    <xf numFmtId="39" fontId="3" fillId="0" borderId="0" xfId="0" applyNumberFormat="1" applyFont="1"/>
    <xf numFmtId="0" fontId="4" fillId="0" borderId="16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86" fillId="0" borderId="0" xfId="0" applyFont="1"/>
    <xf numFmtId="0" fontId="87" fillId="0" borderId="0" xfId="0" applyFont="1"/>
    <xf numFmtId="14" fontId="86" fillId="0" borderId="0" xfId="0" applyNumberFormat="1" applyFont="1"/>
    <xf numFmtId="18" fontId="86" fillId="0" borderId="0" xfId="0" applyNumberFormat="1" applyFont="1"/>
    <xf numFmtId="4" fontId="88" fillId="0" borderId="0" xfId="0" applyNumberFormat="1" applyFont="1"/>
    <xf numFmtId="3" fontId="84" fillId="0" borderId="0" xfId="0" applyNumberFormat="1" applyFont="1"/>
    <xf numFmtId="0" fontId="89" fillId="0" borderId="0" xfId="0" applyFont="1" applyAlignment="1">
      <alignment horizontal="right"/>
    </xf>
    <xf numFmtId="0" fontId="78" fillId="0" borderId="0" xfId="0" applyFont="1" applyAlignment="1">
      <alignment horizontal="right"/>
    </xf>
    <xf numFmtId="0" fontId="90" fillId="0" borderId="0" xfId="0" applyFont="1" applyAlignment="1">
      <alignment horizontal="right"/>
    </xf>
    <xf numFmtId="4" fontId="36" fillId="0" borderId="0" xfId="0" applyNumberFormat="1" applyFont="1" applyAlignment="1">
      <alignment horizontal="right"/>
    </xf>
    <xf numFmtId="0" fontId="90" fillId="0" borderId="0" xfId="0" applyFont="1"/>
    <xf numFmtId="0" fontId="89" fillId="0" borderId="0" xfId="0" applyFont="1"/>
    <xf numFmtId="0" fontId="4" fillId="42" borderId="0" xfId="0" applyFont="1" applyFill="1"/>
    <xf numFmtId="0" fontId="38" fillId="42" borderId="0" xfId="0" applyFont="1" applyFill="1"/>
    <xf numFmtId="0" fontId="38" fillId="40" borderId="3" xfId="0" applyFont="1" applyFill="1" applyBorder="1" applyAlignment="1">
      <alignment horizontal="center" vertical="center" wrapText="1"/>
    </xf>
    <xf numFmtId="0" fontId="0" fillId="42" borderId="3" xfId="0" applyFill="1" applyBorder="1"/>
    <xf numFmtId="0" fontId="3" fillId="42" borderId="3" xfId="0" applyFont="1" applyFill="1" applyBorder="1"/>
    <xf numFmtId="0" fontId="4" fillId="0" borderId="3" xfId="0" applyFont="1" applyBorder="1"/>
    <xf numFmtId="44" fontId="38" fillId="40" borderId="3" xfId="0" applyNumberFormat="1" applyFont="1" applyFill="1" applyBorder="1" applyAlignment="1">
      <alignment horizontal="center" vertical="center" wrapText="1"/>
    </xf>
    <xf numFmtId="44" fontId="0" fillId="0" borderId="3" xfId="34" applyNumberFormat="1" applyFont="1" applyBorder="1"/>
    <xf numFmtId="44" fontId="91" fillId="42" borderId="3" xfId="34" applyNumberFormat="1" applyFont="1" applyFill="1" applyBorder="1"/>
    <xf numFmtId="44" fontId="0" fillId="0" borderId="3" xfId="0" applyNumberFormat="1" applyBorder="1"/>
    <xf numFmtId="44" fontId="0" fillId="42" borderId="3" xfId="34" applyNumberFormat="1" applyFont="1" applyFill="1" applyBorder="1"/>
    <xf numFmtId="0" fontId="36" fillId="0" borderId="3" xfId="0" applyFont="1" applyBorder="1" applyAlignment="1">
      <alignment horizontal="right"/>
    </xf>
    <xf numFmtId="0" fontId="36" fillId="0" borderId="3" xfId="0" applyFont="1" applyBorder="1"/>
    <xf numFmtId="0" fontId="36" fillId="0" borderId="101" xfId="0" applyFont="1" applyBorder="1" applyAlignment="1">
      <alignment horizontal="right"/>
    </xf>
    <xf numFmtId="44" fontId="36" fillId="0" borderId="102" xfId="45" applyFont="1" applyBorder="1"/>
    <xf numFmtId="0" fontId="36" fillId="0" borderId="103" xfId="0" applyFont="1" applyBorder="1" applyAlignment="1">
      <alignment horizontal="right"/>
    </xf>
    <xf numFmtId="44" fontId="36" fillId="0" borderId="104" xfId="45" applyFont="1" applyBorder="1"/>
    <xf numFmtId="0" fontId="3" fillId="0" borderId="3" xfId="93" applyFont="1" applyBorder="1"/>
    <xf numFmtId="44" fontId="3" fillId="0" borderId="3" xfId="0" applyNumberFormat="1" applyFont="1" applyBorder="1"/>
    <xf numFmtId="44" fontId="3" fillId="0" borderId="3" xfId="39" applyNumberFormat="1" applyBorder="1" applyAlignment="1">
      <alignment horizontal="left" vertical="center"/>
    </xf>
    <xf numFmtId="44" fontId="3" fillId="0" borderId="0" xfId="89" applyNumberFormat="1"/>
    <xf numFmtId="44" fontId="3" fillId="0" borderId="0" xfId="39" applyNumberFormat="1" applyAlignment="1">
      <alignment horizontal="left"/>
    </xf>
    <xf numFmtId="44" fontId="3" fillId="0" borderId="0" xfId="39" applyNumberFormat="1"/>
    <xf numFmtId="44" fontId="4" fillId="25" borderId="11" xfId="39" applyNumberFormat="1" applyFont="1" applyFill="1" applyBorder="1"/>
    <xf numFmtId="44" fontId="36" fillId="0" borderId="3" xfId="0" applyNumberFormat="1" applyFont="1" applyBorder="1" applyAlignment="1">
      <alignment horizontal="right"/>
    </xf>
    <xf numFmtId="44" fontId="36" fillId="0" borderId="3" xfId="0" applyNumberFormat="1" applyFont="1" applyBorder="1"/>
    <xf numFmtId="44" fontId="3" fillId="0" borderId="0" xfId="93" applyNumberFormat="1" applyFont="1" applyAlignment="1">
      <alignment horizontal="centerContinuous"/>
    </xf>
    <xf numFmtId="44" fontId="3" fillId="40" borderId="57" xfId="93" applyNumberFormat="1" applyFont="1" applyFill="1" applyBorder="1" applyAlignment="1">
      <alignment horizontal="centerContinuous"/>
    </xf>
    <xf numFmtId="44" fontId="4" fillId="40" borderId="8" xfId="93" applyNumberFormat="1" applyFont="1" applyFill="1" applyBorder="1" applyAlignment="1">
      <alignment horizontal="center"/>
    </xf>
    <xf numFmtId="44" fontId="4" fillId="40" borderId="57" xfId="93" applyNumberFormat="1" applyFont="1" applyFill="1" applyBorder="1" applyAlignment="1">
      <alignment horizontal="center"/>
    </xf>
    <xf numFmtId="44" fontId="78" fillId="0" borderId="0" xfId="34" applyNumberFormat="1" applyFont="1" applyBorder="1"/>
    <xf numFmtId="44" fontId="3" fillId="0" borderId="0" xfId="34" applyNumberFormat="1" applyFont="1" applyBorder="1" applyAlignment="1">
      <alignment horizontal="right"/>
    </xf>
    <xf numFmtId="44" fontId="4" fillId="0" borderId="63" xfId="34" applyNumberFormat="1" applyFont="1" applyBorder="1"/>
    <xf numFmtId="44" fontId="3" fillId="0" borderId="0" xfId="34" applyNumberFormat="1" applyFont="1"/>
    <xf numFmtId="44" fontId="53" fillId="0" borderId="0" xfId="34" applyNumberFormat="1" applyFont="1"/>
    <xf numFmtId="44" fontId="3" fillId="40" borderId="57" xfId="34" applyNumberFormat="1" applyFont="1" applyFill="1" applyBorder="1" applyAlignment="1">
      <alignment horizontal="centerContinuous"/>
    </xf>
    <xf numFmtId="44" fontId="4" fillId="40" borderId="8" xfId="34" applyNumberFormat="1" applyFont="1" applyFill="1" applyBorder="1" applyAlignment="1">
      <alignment horizontal="center"/>
    </xf>
    <xf numFmtId="44" fontId="78" fillId="0" borderId="57" xfId="34" applyNumberFormat="1" applyFont="1" applyBorder="1"/>
    <xf numFmtId="44" fontId="4" fillId="0" borderId="63" xfId="34" applyNumberFormat="1" applyFont="1" applyBorder="1" applyAlignment="1">
      <alignment horizontal="center"/>
    </xf>
    <xf numFmtId="44" fontId="3" fillId="0" borderId="3" xfId="34" applyNumberFormat="1" applyFont="1" applyBorder="1"/>
    <xf numFmtId="44" fontId="53" fillId="0" borderId="0" xfId="93" applyNumberFormat="1"/>
    <xf numFmtId="44" fontId="36" fillId="0" borderId="0" xfId="34" applyNumberFormat="1" applyFont="1"/>
    <xf numFmtId="44" fontId="38" fillId="40" borderId="58" xfId="0" applyNumberFormat="1" applyFont="1" applyFill="1" applyBorder="1"/>
    <xf numFmtId="44" fontId="38" fillId="40" borderId="62" xfId="0" applyNumberFormat="1" applyFont="1" applyFill="1" applyBorder="1" applyAlignment="1">
      <alignment horizontal="center" wrapText="1"/>
    </xf>
    <xf numFmtId="44" fontId="40" fillId="0" borderId="73" xfId="34" applyNumberFormat="1" applyFont="1" applyBorder="1"/>
    <xf numFmtId="44" fontId="69" fillId="0" borderId="60" xfId="34" applyNumberFormat="1" applyFont="1" applyBorder="1"/>
    <xf numFmtId="44" fontId="40" fillId="0" borderId="60" xfId="34" applyNumberFormat="1" applyFont="1" applyBorder="1"/>
    <xf numFmtId="44" fontId="0" fillId="0" borderId="0" xfId="34" applyNumberFormat="1" applyFont="1"/>
    <xf numFmtId="44" fontId="38" fillId="40" borderId="57" xfId="0" applyNumberFormat="1" applyFont="1" applyFill="1" applyBorder="1"/>
    <xf numFmtId="44" fontId="38" fillId="40" borderId="8" xfId="0" applyNumberFormat="1" applyFont="1" applyFill="1" applyBorder="1" applyAlignment="1">
      <alignment horizontal="center" wrapText="1"/>
    </xf>
    <xf numFmtId="0" fontId="39" fillId="0" borderId="105" xfId="90" applyFont="1" applyBorder="1"/>
    <xf numFmtId="0" fontId="39" fillId="0" borderId="18" xfId="90" applyFont="1" applyBorder="1"/>
    <xf numFmtId="44" fontId="8" fillId="0" borderId="18" xfId="90" applyNumberFormat="1" applyFont="1" applyBorder="1"/>
    <xf numFmtId="44" fontId="8" fillId="0" borderId="72" xfId="90" applyNumberFormat="1" applyFont="1" applyBorder="1"/>
    <xf numFmtId="44" fontId="3" fillId="40" borderId="58" xfId="0" applyNumberFormat="1" applyFont="1" applyFill="1" applyBorder="1"/>
    <xf numFmtId="44" fontId="4" fillId="40" borderId="62" xfId="0" applyNumberFormat="1" applyFont="1" applyFill="1" applyBorder="1" applyAlignment="1">
      <alignment horizontal="center" wrapText="1"/>
    </xf>
    <xf numFmtId="44" fontId="4" fillId="0" borderId="60" xfId="0" applyNumberFormat="1" applyFont="1" applyBorder="1" applyAlignment="1">
      <alignment horizontal="center" wrapText="1"/>
    </xf>
    <xf numFmtId="44" fontId="3" fillId="0" borderId="60" xfId="0" applyNumberFormat="1" applyFont="1" applyBorder="1" applyAlignment="1">
      <alignment vertical="center"/>
    </xf>
    <xf numFmtId="44" fontId="3" fillId="0" borderId="60" xfId="0" applyNumberFormat="1" applyFont="1" applyBorder="1"/>
    <xf numFmtId="44" fontId="4" fillId="0" borderId="69" xfId="34" applyNumberFormat="1" applyFont="1" applyBorder="1"/>
    <xf numFmtId="44" fontId="82" fillId="0" borderId="0" xfId="0" quotePrefix="1" applyNumberFormat="1" applyFont="1"/>
    <xf numFmtId="44" fontId="36" fillId="0" borderId="3" xfId="45" applyFont="1" applyBorder="1"/>
    <xf numFmtId="44" fontId="4" fillId="0" borderId="0" xfId="34" quotePrefix="1" applyNumberFormat="1" applyFont="1"/>
    <xf numFmtId="44" fontId="89" fillId="0" borderId="0" xfId="0" applyNumberFormat="1" applyFont="1" applyAlignment="1">
      <alignment horizontal="right"/>
    </xf>
    <xf numFmtId="44" fontId="36" fillId="40" borderId="58" xfId="0" applyNumberFormat="1" applyFont="1" applyFill="1" applyBorder="1"/>
    <xf numFmtId="44" fontId="63" fillId="0" borderId="60" xfId="0" applyNumberFormat="1" applyFont="1" applyBorder="1"/>
    <xf numFmtId="44" fontId="38" fillId="0" borderId="69" xfId="34" applyNumberFormat="1" applyFont="1" applyBorder="1"/>
    <xf numFmtId="44" fontId="38" fillId="0" borderId="0" xfId="34" applyNumberFormat="1" applyFont="1"/>
    <xf numFmtId="0" fontId="36" fillId="0" borderId="3" xfId="0" quotePrefix="1" applyFont="1" applyBorder="1" applyAlignment="1">
      <alignment horizontal="left"/>
    </xf>
    <xf numFmtId="44" fontId="39" fillId="0" borderId="3" xfId="0" applyNumberFormat="1" applyFont="1" applyBorder="1"/>
    <xf numFmtId="0" fontId="78" fillId="0" borderId="3" xfId="0" applyFont="1" applyBorder="1"/>
    <xf numFmtId="0" fontId="36" fillId="0" borderId="3" xfId="0" applyFont="1" applyBorder="1" applyAlignment="1">
      <alignment horizontal="center"/>
    </xf>
    <xf numFmtId="0" fontId="78" fillId="0" borderId="3" xfId="0" applyFont="1" applyBorder="1" applyAlignment="1">
      <alignment horizontal="center"/>
    </xf>
    <xf numFmtId="43" fontId="36" fillId="0" borderId="3" xfId="34" applyFont="1" applyFill="1" applyBorder="1" applyAlignment="1">
      <alignment horizontal="center"/>
    </xf>
    <xf numFmtId="44" fontId="36" fillId="0" borderId="0" xfId="0" applyNumberFormat="1" applyFont="1" applyAlignment="1">
      <alignment horizontal="center"/>
    </xf>
    <xf numFmtId="44" fontId="3" fillId="0" borderId="0" xfId="0" applyNumberFormat="1" applyFont="1" applyAlignment="1">
      <alignment horizontal="right"/>
    </xf>
    <xf numFmtId="44" fontId="36" fillId="0" borderId="0" xfId="34" applyNumberFormat="1" applyFont="1" applyAlignment="1">
      <alignment horizontal="center"/>
    </xf>
    <xf numFmtId="44" fontId="36" fillId="0" borderId="0" xfId="0" applyNumberFormat="1" applyFont="1" applyAlignment="1">
      <alignment horizontal="right"/>
    </xf>
    <xf numFmtId="44" fontId="44" fillId="0" borderId="0" xfId="0" applyNumberFormat="1" applyFont="1" applyAlignment="1">
      <alignment horizontal="right"/>
    </xf>
    <xf numFmtId="44" fontId="4" fillId="0" borderId="11" xfId="34" applyNumberFormat="1" applyFont="1" applyBorder="1"/>
    <xf numFmtId="44" fontId="0" fillId="0" borderId="3" xfId="0" applyNumberFormat="1" applyBorder="1" applyAlignment="1">
      <alignment horizontal="center"/>
    </xf>
    <xf numFmtId="44" fontId="36" fillId="40" borderId="18" xfId="0" applyNumberFormat="1" applyFont="1" applyFill="1" applyBorder="1" applyAlignment="1">
      <alignment horizontal="center" wrapText="1"/>
    </xf>
    <xf numFmtId="44" fontId="36" fillId="40" borderId="21" xfId="0" applyNumberFormat="1" applyFont="1" applyFill="1" applyBorder="1"/>
    <xf numFmtId="44" fontId="36" fillId="40" borderId="7" xfId="0" applyNumberFormat="1" applyFont="1" applyFill="1" applyBorder="1" applyAlignment="1">
      <alignment horizontal="center"/>
    </xf>
    <xf numFmtId="44" fontId="63" fillId="40" borderId="7" xfId="0" applyNumberFormat="1" applyFont="1" applyFill="1" applyBorder="1" applyAlignment="1">
      <alignment horizontal="center"/>
    </xf>
    <xf numFmtId="44" fontId="36" fillId="40" borderId="7" xfId="0" applyNumberFormat="1" applyFont="1" applyFill="1" applyBorder="1" applyAlignment="1">
      <alignment horizontal="center" wrapText="1"/>
    </xf>
    <xf numFmtId="44" fontId="36" fillId="40" borderId="22" xfId="0" applyNumberFormat="1" applyFont="1" applyFill="1" applyBorder="1" applyAlignment="1">
      <alignment horizontal="center"/>
    </xf>
    <xf numFmtId="44" fontId="36" fillId="0" borderId="0" xfId="34" applyNumberFormat="1" applyFont="1" applyFill="1" applyAlignment="1">
      <alignment horizontal="center"/>
    </xf>
    <xf numFmtId="44" fontId="36" fillId="0" borderId="0" xfId="34" applyNumberFormat="1" applyFont="1" applyFill="1"/>
    <xf numFmtId="44" fontId="3" fillId="0" borderId="0" xfId="34" applyNumberFormat="1" applyFont="1" applyFill="1"/>
    <xf numFmtId="44" fontId="4" fillId="0" borderId="0" xfId="34" applyNumberFormat="1" applyFont="1"/>
    <xf numFmtId="44" fontId="3" fillId="0" borderId="0" xfId="0" applyNumberFormat="1" applyFont="1" applyAlignment="1">
      <alignment horizontal="center"/>
    </xf>
    <xf numFmtId="44" fontId="36" fillId="0" borderId="3" xfId="34" applyNumberFormat="1" applyFont="1" applyFill="1" applyBorder="1" applyAlignment="1">
      <alignment horizontal="center"/>
    </xf>
    <xf numFmtId="43" fontId="84" fillId="0" borderId="0" xfId="34" applyFont="1" applyFill="1"/>
    <xf numFmtId="4" fontId="1" fillId="0" borderId="0" xfId="0" applyNumberFormat="1" applyFont="1" applyAlignment="1">
      <alignment vertical="center"/>
    </xf>
    <xf numFmtId="0" fontId="38" fillId="40" borderId="3" xfId="0" applyFont="1" applyFill="1" applyBorder="1" applyAlignment="1">
      <alignment horizontal="left" vertical="center" wrapText="1"/>
    </xf>
    <xf numFmtId="0" fontId="4" fillId="0" borderId="3" xfId="0" applyFont="1" applyBorder="1" applyAlignment="1">
      <alignment horizontal="left"/>
    </xf>
    <xf numFmtId="14" fontId="4" fillId="0" borderId="3" xfId="0" applyNumberFormat="1" applyFont="1" applyBorder="1" applyAlignment="1">
      <alignment horizontal="left"/>
    </xf>
    <xf numFmtId="44" fontId="39" fillId="0" borderId="3" xfId="0" applyNumberFormat="1" applyFont="1" applyBorder="1" applyAlignment="1">
      <alignment vertical="top"/>
    </xf>
    <xf numFmtId="43" fontId="0" fillId="0" borderId="18" xfId="34" applyFont="1" applyBorder="1"/>
    <xf numFmtId="43" fontId="4" fillId="0" borderId="3" xfId="34" applyFont="1" applyBorder="1"/>
    <xf numFmtId="0" fontId="85" fillId="0" borderId="0" xfId="0" applyFont="1"/>
    <xf numFmtId="14" fontId="4" fillId="0" borderId="0" xfId="0" applyNumberFormat="1" applyFont="1"/>
    <xf numFmtId="0" fontId="3" fillId="0" borderId="0" xfId="93" applyFont="1" applyAlignment="1">
      <alignment horizontal="left"/>
    </xf>
    <xf numFmtId="44" fontId="36" fillId="0" borderId="0" xfId="90" applyNumberFormat="1" applyFont="1" applyAlignment="1">
      <alignment horizontal="center" wrapText="1"/>
    </xf>
    <xf numFmtId="44" fontId="0" fillId="42" borderId="3" xfId="0" applyNumberFormat="1" applyFill="1" applyBorder="1"/>
    <xf numFmtId="43" fontId="83" fillId="42" borderId="0" xfId="34" applyFont="1" applyFill="1"/>
    <xf numFmtId="44" fontId="40" fillId="0" borderId="60" xfId="0" applyNumberFormat="1" applyFont="1" applyBorder="1"/>
    <xf numFmtId="173" fontId="85" fillId="0" borderId="0" xfId="0" quotePrefix="1" applyNumberFormat="1" applyFont="1" applyAlignment="1">
      <alignment horizontal="center" vertical="center"/>
    </xf>
    <xf numFmtId="0" fontId="83" fillId="42" borderId="0" xfId="172" applyFill="1"/>
    <xf numFmtId="44" fontId="3" fillId="0" borderId="20" xfId="34" applyNumberFormat="1" applyBorder="1" applyAlignment="1"/>
    <xf numFmtId="44" fontId="3" fillId="0" borderId="17" xfId="34" applyNumberFormat="1" applyBorder="1" applyAlignment="1"/>
    <xf numFmtId="0" fontId="8" fillId="0" borderId="0" xfId="89" applyFont="1" applyAlignment="1">
      <alignment vertical="center"/>
    </xf>
    <xf numFmtId="0" fontId="8" fillId="0" borderId="0" xfId="89" applyFont="1" applyAlignment="1">
      <alignment horizontal="center" vertical="center"/>
    </xf>
    <xf numFmtId="0" fontId="8" fillId="0" borderId="0" xfId="89" applyFont="1" applyAlignment="1">
      <alignment horizontal="center" vertical="center" wrapText="1"/>
    </xf>
    <xf numFmtId="0" fontId="35" fillId="0" borderId="0" xfId="96" quotePrefix="1" applyFont="1" applyAlignment="1">
      <alignment horizontal="center"/>
    </xf>
    <xf numFmtId="0" fontId="38" fillId="0" borderId="0" xfId="96" quotePrefix="1" applyFont="1" applyAlignment="1">
      <alignment horizontal="center"/>
    </xf>
    <xf numFmtId="0" fontId="38" fillId="44" borderId="0" xfId="96" quotePrefix="1" applyFont="1" applyFill="1"/>
    <xf numFmtId="0" fontId="36" fillId="0" borderId="0" xfId="84" applyFont="1"/>
    <xf numFmtId="0" fontId="35" fillId="0" borderId="0" xfId="84" applyFont="1" applyAlignment="1">
      <alignment horizontal="center"/>
    </xf>
    <xf numFmtId="0" fontId="38" fillId="0" borderId="0" xfId="84" applyFont="1" applyAlignment="1">
      <alignment horizontal="center"/>
    </xf>
    <xf numFmtId="0" fontId="38" fillId="44" borderId="0" xfId="84" quotePrefix="1" applyFont="1" applyFill="1"/>
    <xf numFmtId="175" fontId="37" fillId="0" borderId="0" xfId="84" applyNumberFormat="1" applyFont="1" applyAlignment="1">
      <alignment horizontal="center"/>
    </xf>
    <xf numFmtId="175" fontId="4" fillId="0" borderId="0" xfId="84" applyNumberFormat="1" applyFont="1" applyAlignment="1">
      <alignment horizontal="center"/>
    </xf>
    <xf numFmtId="175" fontId="4" fillId="44" borderId="0" xfId="84" applyNumberFormat="1" applyFont="1" applyFill="1"/>
    <xf numFmtId="0" fontId="3" fillId="0" borderId="0" xfId="84"/>
    <xf numFmtId="14" fontId="3" fillId="0" borderId="0" xfId="84" applyNumberFormat="1"/>
    <xf numFmtId="44" fontId="1" fillId="0" borderId="0" xfId="45" applyFont="1"/>
    <xf numFmtId="0" fontId="4" fillId="0" borderId="3" xfId="84" applyFont="1" applyBorder="1" applyAlignment="1">
      <alignment horizontal="center" vertical="center"/>
    </xf>
    <xf numFmtId="0" fontId="4" fillId="0" borderId="16" xfId="84" applyFont="1" applyBorder="1" applyAlignment="1">
      <alignment horizontal="center" vertical="center"/>
    </xf>
    <xf numFmtId="44" fontId="4" fillId="0" borderId="16" xfId="45" applyFont="1" applyFill="1" applyBorder="1" applyAlignment="1">
      <alignment horizontal="left" vertical="center"/>
    </xf>
    <xf numFmtId="0" fontId="4" fillId="0" borderId="3" xfId="84" applyFont="1" applyBorder="1" applyAlignment="1">
      <alignment horizontal="left" vertical="center"/>
    </xf>
    <xf numFmtId="0" fontId="4" fillId="0" borderId="0" xfId="84" applyFont="1" applyAlignment="1">
      <alignment horizontal="center" vertical="center"/>
    </xf>
    <xf numFmtId="0" fontId="3" fillId="0" borderId="0" xfId="84" applyAlignment="1">
      <alignment vertical="center"/>
    </xf>
    <xf numFmtId="4" fontId="3" fillId="0" borderId="0" xfId="84" applyNumberFormat="1" applyAlignment="1">
      <alignment vertical="center"/>
    </xf>
    <xf numFmtId="44" fontId="1" fillId="0" borderId="0" xfId="45" applyFont="1" applyAlignment="1">
      <alignment horizontal="center"/>
    </xf>
    <xf numFmtId="17" fontId="4" fillId="51" borderId="16" xfId="84" applyNumberFormat="1" applyFont="1" applyFill="1" applyBorder="1" applyAlignment="1">
      <alignment horizontal="center" vertical="center"/>
    </xf>
    <xf numFmtId="17" fontId="4" fillId="51" borderId="2" xfId="84" applyNumberFormat="1" applyFont="1" applyFill="1" applyBorder="1" applyAlignment="1">
      <alignment horizontal="center" vertical="center"/>
    </xf>
    <xf numFmtId="0" fontId="4" fillId="51" borderId="3" xfId="84" applyFont="1" applyFill="1" applyBorder="1" applyAlignment="1">
      <alignment horizontal="left" vertical="center"/>
    </xf>
    <xf numFmtId="14" fontId="4" fillId="51" borderId="3" xfId="84" applyNumberFormat="1" applyFont="1" applyFill="1" applyBorder="1" applyAlignment="1">
      <alignment horizontal="center" vertical="center"/>
    </xf>
    <xf numFmtId="44" fontId="85" fillId="51" borderId="2" xfId="45" applyFont="1" applyFill="1" applyBorder="1" applyAlignment="1">
      <alignment horizontal="left" vertical="center"/>
    </xf>
    <xf numFmtId="44" fontId="85" fillId="51" borderId="2" xfId="45" applyFont="1" applyFill="1" applyBorder="1" applyAlignment="1">
      <alignment horizontal="center" vertical="center"/>
    </xf>
    <xf numFmtId="44" fontId="3" fillId="0" borderId="0" xfId="45" applyFont="1"/>
    <xf numFmtId="0" fontId="92" fillId="0" borderId="0" xfId="84" applyFont="1" applyAlignment="1">
      <alignment horizontal="center" wrapText="1"/>
    </xf>
    <xf numFmtId="0" fontId="9" fillId="0" borderId="42" xfId="84" applyFont="1" applyBorder="1"/>
    <xf numFmtId="14" fontId="9" fillId="0" borderId="0" xfId="84" applyNumberFormat="1" applyFont="1" applyAlignment="1">
      <alignment horizontal="center"/>
    </xf>
    <xf numFmtId="44" fontId="64" fillId="0" borderId="0" xfId="45" applyFont="1" applyAlignment="1">
      <alignment horizontal="center"/>
    </xf>
    <xf numFmtId="0" fontId="9" fillId="0" borderId="0" xfId="84" applyFont="1"/>
    <xf numFmtId="44" fontId="92" fillId="0" borderId="0" xfId="45" applyFont="1" applyBorder="1" applyAlignment="1">
      <alignment horizontal="center" wrapText="1"/>
    </xf>
    <xf numFmtId="0" fontId="93" fillId="0" borderId="0" xfId="84" applyFont="1"/>
    <xf numFmtId="4" fontId="9" fillId="0" borderId="0" xfId="84" applyNumberFormat="1" applyFont="1"/>
    <xf numFmtId="0" fontId="79" fillId="0" borderId="0" xfId="220" applyFont="1"/>
    <xf numFmtId="4" fontId="79" fillId="0" borderId="0" xfId="220" applyNumberFormat="1" applyFont="1"/>
    <xf numFmtId="4" fontId="9" fillId="0" borderId="42" xfId="84" applyNumberFormat="1" applyFont="1" applyBorder="1"/>
    <xf numFmtId="44" fontId="64" fillId="0" borderId="0" xfId="45" quotePrefix="1" applyFont="1" applyFill="1" applyAlignment="1">
      <alignment horizontal="center"/>
    </xf>
    <xf numFmtId="44" fontId="9" fillId="0" borderId="0" xfId="45" applyFont="1" applyFill="1" applyBorder="1" applyAlignment="1"/>
    <xf numFmtId="43" fontId="9" fillId="0" borderId="0" xfId="34" applyFont="1" applyFill="1" applyBorder="1" applyAlignment="1"/>
    <xf numFmtId="14" fontId="9" fillId="0" borderId="0" xfId="84" quotePrefix="1" applyNumberFormat="1" applyFont="1" applyAlignment="1">
      <alignment horizontal="center"/>
    </xf>
    <xf numFmtId="44" fontId="64" fillId="0" borderId="0" xfId="45" applyFont="1" applyFill="1" applyAlignment="1">
      <alignment horizontal="center"/>
    </xf>
    <xf numFmtId="43" fontId="88" fillId="0" borderId="0" xfId="34" applyFont="1" applyFill="1"/>
    <xf numFmtId="14" fontId="64" fillId="0" borderId="0" xfId="84" quotePrefix="1" applyNumberFormat="1" applyFont="1" applyAlignment="1">
      <alignment horizontal="center"/>
    </xf>
    <xf numFmtId="0" fontId="64" fillId="0" borderId="0" xfId="0" applyFont="1"/>
    <xf numFmtId="43" fontId="94" fillId="0" borderId="0" xfId="34" applyFont="1" applyFill="1" applyBorder="1"/>
    <xf numFmtId="14" fontId="9" fillId="0" borderId="0" xfId="0" applyNumberFormat="1" applyFont="1"/>
    <xf numFmtId="14" fontId="20" fillId="0" borderId="0" xfId="0" applyNumberFormat="1" applyFont="1"/>
    <xf numFmtId="2" fontId="9" fillId="0" borderId="0" xfId="0" applyNumberFormat="1" applyFont="1"/>
    <xf numFmtId="4" fontId="9" fillId="0" borderId="0" xfId="0" applyNumberFormat="1" applyFont="1"/>
    <xf numFmtId="4" fontId="95" fillId="0" borderId="0" xfId="171" applyNumberFormat="1" applyFont="1" applyFill="1" applyBorder="1"/>
    <xf numFmtId="0" fontId="96" fillId="0" borderId="0" xfId="0" applyFont="1"/>
    <xf numFmtId="43" fontId="9" fillId="0" borderId="0" xfId="34" applyFont="1" applyFill="1"/>
    <xf numFmtId="0" fontId="97" fillId="0" borderId="0" xfId="0" applyFont="1"/>
    <xf numFmtId="14" fontId="98" fillId="0" borderId="0" xfId="84" applyNumberFormat="1" applyFont="1"/>
    <xf numFmtId="14" fontId="99" fillId="0" borderId="0" xfId="84" applyNumberFormat="1" applyFont="1"/>
    <xf numFmtId="2" fontId="98" fillId="0" borderId="0" xfId="84" applyNumberFormat="1" applyFont="1"/>
    <xf numFmtId="4" fontId="98" fillId="0" borderId="0" xfId="84" applyNumberFormat="1" applyFont="1"/>
    <xf numFmtId="0" fontId="79" fillId="52" borderId="0" xfId="220" applyFont="1" applyFill="1"/>
    <xf numFmtId="44" fontId="9" fillId="0" borderId="0" xfId="45" applyFont="1" applyBorder="1" applyAlignment="1"/>
    <xf numFmtId="0" fontId="100" fillId="0" borderId="0" xfId="0" applyFont="1"/>
    <xf numFmtId="44" fontId="64" fillId="0" borderId="0" xfId="45" applyFont="1" applyAlignment="1"/>
    <xf numFmtId="44" fontId="86" fillId="0" borderId="0" xfId="45" applyFont="1" applyFill="1" applyBorder="1" applyAlignment="1"/>
    <xf numFmtId="44" fontId="97" fillId="0" borderId="0" xfId="45" applyFont="1" applyAlignment="1">
      <alignment horizontal="left"/>
    </xf>
    <xf numFmtId="44" fontId="20" fillId="0" borderId="0" xfId="45" applyFont="1" applyFill="1" applyBorder="1" applyAlignment="1"/>
    <xf numFmtId="44" fontId="64" fillId="0" borderId="0" xfId="45" applyFont="1" applyAlignment="1">
      <alignment horizontal="right"/>
    </xf>
    <xf numFmtId="44" fontId="64" fillId="0" borderId="0" xfId="45" applyFont="1"/>
    <xf numFmtId="44" fontId="9" fillId="0" borderId="0" xfId="45" applyFont="1" applyBorder="1"/>
    <xf numFmtId="0" fontId="88" fillId="0" borderId="0" xfId="0" applyFont="1"/>
    <xf numFmtId="4" fontId="64" fillId="0" borderId="0" xfId="0" applyNumberFormat="1" applyFont="1"/>
    <xf numFmtId="44" fontId="9" fillId="0" borderId="0" xfId="45" applyFont="1"/>
    <xf numFmtId="14" fontId="9" fillId="0" borderId="0" xfId="84" applyNumberFormat="1" applyFont="1"/>
    <xf numFmtId="0" fontId="64" fillId="0" borderId="0" xfId="0" applyFont="1" applyAlignment="1">
      <alignment vertical="center"/>
    </xf>
    <xf numFmtId="4" fontId="64" fillId="0" borderId="0" xfId="0" applyNumberFormat="1" applyFont="1" applyAlignment="1">
      <alignment vertical="center"/>
    </xf>
    <xf numFmtId="0" fontId="86" fillId="0" borderId="0" xfId="0" applyFont="1" applyAlignment="1">
      <alignment vertical="center" wrapText="1"/>
    </xf>
    <xf numFmtId="0" fontId="100" fillId="0" borderId="0" xfId="0" applyFont="1" applyAlignment="1">
      <alignment vertical="center"/>
    </xf>
    <xf numFmtId="0" fontId="20" fillId="0" borderId="0" xfId="84" applyFont="1" applyAlignment="1">
      <alignment horizontal="left"/>
    </xf>
    <xf numFmtId="44" fontId="9" fillId="0" borderId="0" xfId="84" applyNumberFormat="1" applyFont="1"/>
    <xf numFmtId="44" fontId="9" fillId="0" borderId="0" xfId="0" applyNumberFormat="1" applyFont="1"/>
    <xf numFmtId="0" fontId="9" fillId="0" borderId="56" xfId="0" applyFont="1" applyBorder="1"/>
    <xf numFmtId="0" fontId="9" fillId="0" borderId="57" xfId="0" applyFont="1" applyBorder="1"/>
    <xf numFmtId="0" fontId="9" fillId="0" borderId="58" xfId="0" applyFont="1" applyBorder="1"/>
    <xf numFmtId="0" fontId="101" fillId="0" borderId="0" xfId="84" applyFont="1"/>
    <xf numFmtId="44" fontId="101" fillId="0" borderId="0" xfId="45" applyFont="1" applyBorder="1"/>
    <xf numFmtId="0" fontId="9" fillId="0" borderId="59" xfId="0" quotePrefix="1" applyFont="1" applyBorder="1" applyAlignment="1">
      <alignment vertical="center"/>
    </xf>
    <xf numFmtId="0" fontId="9" fillId="42" borderId="0" xfId="34" applyNumberFormat="1" applyFont="1" applyFill="1" applyAlignment="1">
      <alignment vertical="center"/>
    </xf>
    <xf numFmtId="0" fontId="9" fillId="0" borderId="0" xfId="0" applyFont="1" applyAlignment="1">
      <alignment horizontal="center" vertical="center"/>
    </xf>
    <xf numFmtId="0" fontId="9" fillId="0" borderId="60" xfId="0" applyFont="1" applyBorder="1" applyAlignment="1">
      <alignment horizontal="left" vertical="top" wrapText="1"/>
    </xf>
    <xf numFmtId="0" fontId="9" fillId="0" borderId="59" xfId="0" quotePrefix="1" applyFont="1" applyBorder="1"/>
    <xf numFmtId="0" fontId="9" fillId="0" borderId="0" xfId="0" applyFont="1" applyAlignment="1">
      <alignment horizontal="center"/>
    </xf>
    <xf numFmtId="0" fontId="9" fillId="0" borderId="60" xfId="0" applyFont="1" applyBorder="1"/>
    <xf numFmtId="0" fontId="9" fillId="42" borderId="0" xfId="0" applyFont="1" applyFill="1"/>
    <xf numFmtId="0" fontId="9" fillId="42" borderId="0" xfId="0" applyFont="1" applyFill="1" applyAlignment="1">
      <alignment horizontal="center"/>
    </xf>
    <xf numFmtId="0" fontId="86" fillId="0" borderId="59" xfId="0" quotePrefix="1" applyFont="1" applyBorder="1"/>
    <xf numFmtId="0" fontId="86" fillId="0" borderId="59" xfId="0" applyFont="1" applyBorder="1"/>
    <xf numFmtId="0" fontId="9" fillId="0" borderId="59" xfId="0" applyFont="1" applyBorder="1"/>
    <xf numFmtId="0" fontId="9" fillId="0" borderId="61" xfId="0" quotePrefix="1" applyFont="1" applyBorder="1"/>
    <xf numFmtId="0" fontId="9" fillId="0" borderId="8" xfId="0" applyFont="1" applyBorder="1"/>
    <xf numFmtId="0" fontId="9" fillId="0" borderId="8" xfId="0" applyFont="1" applyBorder="1" applyAlignment="1">
      <alignment horizontal="center"/>
    </xf>
    <xf numFmtId="0" fontId="9" fillId="0" borderId="62" xfId="0" applyFont="1" applyBorder="1"/>
    <xf numFmtId="0" fontId="9" fillId="0" borderId="0" xfId="0" quotePrefix="1" applyFont="1"/>
    <xf numFmtId="0" fontId="20" fillId="0" borderId="0" xfId="0" applyFont="1"/>
    <xf numFmtId="0" fontId="9" fillId="49" borderId="0" xfId="0" quotePrefix="1" applyFont="1" applyFill="1"/>
    <xf numFmtId="49" fontId="97" fillId="0" borderId="0" xfId="0" applyNumberFormat="1" applyFont="1"/>
    <xf numFmtId="44" fontId="9" fillId="52" borderId="107" xfId="45" applyFont="1" applyFill="1" applyBorder="1" applyAlignment="1"/>
    <xf numFmtId="44" fontId="13" fillId="0" borderId="3" xfId="39" applyNumberFormat="1" applyFont="1" applyFill="1" applyBorder="1" applyAlignment="1">
      <alignment horizontal="left" vertical="center"/>
    </xf>
    <xf numFmtId="44" fontId="8" fillId="0" borderId="3" xfId="0" applyNumberFormat="1" applyFont="1" applyBorder="1"/>
    <xf numFmtId="0" fontId="102" fillId="0" borderId="0" xfId="84" applyFont="1" applyAlignment="1">
      <alignment horizontal="right"/>
    </xf>
    <xf numFmtId="44" fontId="102" fillId="0" borderId="0" xfId="0" applyNumberFormat="1" applyFont="1"/>
    <xf numFmtId="44" fontId="102" fillId="0" borderId="0" xfId="45" applyFont="1" applyBorder="1" applyAlignment="1"/>
    <xf numFmtId="44" fontId="3" fillId="0" borderId="3" xfId="39" applyNumberFormat="1" applyFont="1" applyFill="1" applyBorder="1" applyAlignment="1">
      <alignment horizontal="left" vertical="center"/>
    </xf>
    <xf numFmtId="43" fontId="3" fillId="0" borderId="3" xfId="39" applyFont="1" applyBorder="1" applyAlignment="1">
      <alignment horizontal="left" vertical="center"/>
    </xf>
    <xf numFmtId="43" fontId="3" fillId="0" borderId="3" xfId="39" applyFont="1" applyFill="1" applyBorder="1" applyAlignment="1">
      <alignment horizontal="left" vertical="center"/>
    </xf>
    <xf numFmtId="43" fontId="87" fillId="0" borderId="0" xfId="34" applyFont="1"/>
    <xf numFmtId="43" fontId="86" fillId="0" borderId="0" xfId="34" applyFont="1"/>
    <xf numFmtId="13" fontId="64" fillId="0" borderId="0" xfId="45" quotePrefix="1" applyNumberFormat="1" applyFont="1" applyFill="1" applyAlignment="1">
      <alignment horizontal="center"/>
    </xf>
    <xf numFmtId="43" fontId="0" fillId="0" borderId="7" xfId="34" applyFont="1" applyBorder="1"/>
    <xf numFmtId="43" fontId="0" fillId="39" borderId="0" xfId="34" applyFont="1" applyFill="1" applyAlignment="1">
      <alignment vertical="center"/>
    </xf>
    <xf numFmtId="43" fontId="0" fillId="39" borderId="0" xfId="34" applyFont="1" applyFill="1"/>
    <xf numFmtId="4" fontId="3" fillId="0" borderId="0" xfId="84" applyNumberFormat="1"/>
    <xf numFmtId="4" fontId="40" fillId="0" borderId="0" xfId="0" applyNumberFormat="1" applyFont="1" applyAlignment="1">
      <alignment horizontal="left"/>
    </xf>
    <xf numFmtId="14" fontId="64" fillId="0" borderId="0" xfId="45" quotePrefix="1" applyNumberFormat="1" applyFont="1" applyFill="1" applyAlignment="1">
      <alignment horizontal="center"/>
    </xf>
    <xf numFmtId="0" fontId="83" fillId="0" borderId="0" xfId="240"/>
    <xf numFmtId="0" fontId="79" fillId="0" borderId="0" xfId="240" applyFont="1"/>
    <xf numFmtId="186" fontId="79" fillId="0" borderId="0" xfId="240" applyNumberFormat="1" applyFont="1"/>
    <xf numFmtId="10" fontId="79" fillId="0" borderId="0" xfId="240" applyNumberFormat="1" applyFont="1"/>
    <xf numFmtId="186" fontId="79" fillId="0" borderId="99" xfId="240" applyNumberFormat="1" applyFont="1" applyBorder="1"/>
    <xf numFmtId="10" fontId="79" fillId="0" borderId="99" xfId="240" applyNumberFormat="1" applyFont="1" applyBorder="1"/>
    <xf numFmtId="0" fontId="83" fillId="0" borderId="99" xfId="240" applyBorder="1"/>
    <xf numFmtId="186" fontId="79" fillId="0" borderId="106" xfId="240" applyNumberFormat="1" applyFont="1" applyBorder="1"/>
    <xf numFmtId="10" fontId="79" fillId="0" borderId="106" xfId="240" applyNumberFormat="1" applyFont="1" applyBorder="1"/>
    <xf numFmtId="0" fontId="64" fillId="42" borderId="0" xfId="0" applyFont="1" applyFill="1"/>
    <xf numFmtId="0" fontId="3" fillId="0" borderId="0" xfId="84" quotePrefix="1"/>
    <xf numFmtId="4" fontId="79" fillId="0" borderId="3" xfId="0" applyNumberFormat="1" applyFont="1" applyBorder="1"/>
    <xf numFmtId="43" fontId="36" fillId="0" borderId="0" xfId="34" quotePrefix="1" applyFont="1" applyAlignment="1">
      <alignment horizontal="left"/>
    </xf>
    <xf numFmtId="0" fontId="38" fillId="0" borderId="0" xfId="0" quotePrefix="1" applyFont="1" applyAlignment="1">
      <alignment horizontal="center" wrapText="1"/>
    </xf>
    <xf numFmtId="43" fontId="36" fillId="0" borderId="0" xfId="34" applyFont="1" applyFill="1" applyBorder="1" applyAlignment="1">
      <alignment horizontal="center" wrapText="1"/>
    </xf>
    <xf numFmtId="14" fontId="36" fillId="0" borderId="59" xfId="0" applyNumberFormat="1" applyFont="1" applyBorder="1" applyAlignment="1">
      <alignment horizontal="center" wrapText="1"/>
    </xf>
    <xf numFmtId="0" fontId="36" fillId="0" borderId="60" xfId="0" applyFont="1" applyBorder="1" applyAlignment="1">
      <alignment horizontal="center" wrapText="1"/>
    </xf>
    <xf numFmtId="44" fontId="36" fillId="0" borderId="0" xfId="45" applyFont="1"/>
    <xf numFmtId="44" fontId="38" fillId="40" borderId="57" xfId="45" applyFont="1" applyFill="1" applyBorder="1"/>
    <xf numFmtId="44" fontId="38" fillId="40" borderId="58" xfId="45" applyFont="1" applyFill="1" applyBorder="1"/>
    <xf numFmtId="44" fontId="38" fillId="40" borderId="8" xfId="45" applyFont="1" applyFill="1" applyBorder="1" applyAlignment="1">
      <alignment horizontal="center" wrapText="1"/>
    </xf>
    <xf numFmtId="44" fontId="38" fillId="40" borderId="62" xfId="45" applyFont="1" applyFill="1" applyBorder="1" applyAlignment="1">
      <alignment horizontal="center" wrapText="1"/>
    </xf>
    <xf numFmtId="0" fontId="38" fillId="0" borderId="59" xfId="90" applyFont="1" applyBorder="1" applyAlignment="1">
      <alignment horizontal="center" wrapText="1"/>
    </xf>
    <xf numFmtId="0" fontId="38" fillId="0" borderId="0" xfId="90" applyFont="1" applyAlignment="1">
      <alignment horizontal="center" wrapText="1"/>
    </xf>
    <xf numFmtId="44" fontId="38" fillId="0" borderId="0" xfId="45" applyFont="1" applyFill="1" applyBorder="1" applyAlignment="1">
      <alignment horizontal="center" wrapText="1"/>
    </xf>
    <xf numFmtId="0" fontId="36" fillId="0" borderId="3" xfId="90" applyFont="1" applyBorder="1" applyAlignment="1">
      <alignment horizontal="center" wrapText="1"/>
    </xf>
    <xf numFmtId="0" fontId="38" fillId="0" borderId="56" xfId="90" applyFont="1" applyBorder="1" applyAlignment="1">
      <alignment horizontal="center" wrapText="1"/>
    </xf>
    <xf numFmtId="0" fontId="38" fillId="0" borderId="57" xfId="90" applyFont="1" applyBorder="1" applyAlignment="1">
      <alignment horizontal="center" wrapText="1"/>
    </xf>
    <xf numFmtId="0" fontId="38" fillId="0" borderId="57" xfId="90" applyFont="1" applyBorder="1" applyAlignment="1">
      <alignment wrapText="1"/>
    </xf>
    <xf numFmtId="44" fontId="38" fillId="0" borderId="57" xfId="45" applyFont="1" applyFill="1" applyBorder="1" applyAlignment="1">
      <alignment horizontal="center" wrapText="1"/>
    </xf>
    <xf numFmtId="14" fontId="0" fillId="0" borderId="59" xfId="0" applyNumberFormat="1" applyBorder="1"/>
    <xf numFmtId="14" fontId="0" fillId="0" borderId="59" xfId="0" applyNumberFormat="1" applyBorder="1" applyAlignment="1">
      <alignment horizontal="center"/>
    </xf>
    <xf numFmtId="14" fontId="36" fillId="0" borderId="0" xfId="90" applyNumberFormat="1" applyFont="1" applyAlignment="1">
      <alignment horizontal="center" vertical="center"/>
    </xf>
    <xf numFmtId="44" fontId="0" fillId="0" borderId="0" xfId="45" applyFont="1" applyBorder="1"/>
    <xf numFmtId="44" fontId="39" fillId="0" borderId="0" xfId="45" applyFont="1" applyBorder="1"/>
    <xf numFmtId="44" fontId="8" fillId="0" borderId="63" xfId="45" applyFont="1" applyBorder="1"/>
    <xf numFmtId="44" fontId="39" fillId="0" borderId="63" xfId="45" applyFont="1" applyBorder="1"/>
    <xf numFmtId="0" fontId="38" fillId="0" borderId="3" xfId="90" applyFont="1" applyBorder="1"/>
    <xf numFmtId="39" fontId="38" fillId="0" borderId="0" xfId="90" applyNumberFormat="1" applyFont="1"/>
    <xf numFmtId="44" fontId="39" fillId="0" borderId="0" xfId="45" applyFont="1"/>
    <xf numFmtId="44" fontId="3" fillId="0" borderId="3" xfId="45" applyBorder="1" applyAlignment="1">
      <alignment horizontal="right"/>
    </xf>
    <xf numFmtId="44" fontId="3" fillId="0" borderId="3" xfId="45" applyBorder="1"/>
    <xf numFmtId="44" fontId="3" fillId="0" borderId="0" xfId="45"/>
    <xf numFmtId="14" fontId="36" fillId="0" borderId="3" xfId="90" quotePrefix="1" applyNumberFormat="1" applyFont="1" applyBorder="1" applyAlignment="1">
      <alignment horizontal="center"/>
    </xf>
    <xf numFmtId="0" fontId="79" fillId="0" borderId="3" xfId="0" applyFont="1" applyBorder="1"/>
    <xf numFmtId="49" fontId="79" fillId="0" borderId="3" xfId="0" applyNumberFormat="1" applyFont="1" applyBorder="1"/>
    <xf numFmtId="43" fontId="79" fillId="0" borderId="3" xfId="34" applyFont="1" applyBorder="1"/>
    <xf numFmtId="43" fontId="9" fillId="0" borderId="0" xfId="0" applyNumberFormat="1" applyFont="1"/>
    <xf numFmtId="44" fontId="36" fillId="0" borderId="0" xfId="34" applyNumberFormat="1" applyFont="1" applyFill="1" applyBorder="1" applyAlignment="1">
      <alignment horizontal="center"/>
    </xf>
    <xf numFmtId="44" fontId="36" fillId="0" borderId="0" xfId="34" applyNumberFormat="1" applyFont="1" applyFill="1" applyBorder="1"/>
    <xf numFmtId="43" fontId="3" fillId="0" borderId="0" xfId="34" applyFont="1" applyFill="1" applyBorder="1"/>
    <xf numFmtId="44" fontId="39" fillId="0" borderId="72" xfId="34" applyNumberFormat="1" applyFont="1" applyBorder="1"/>
    <xf numFmtId="44" fontId="0" fillId="0" borderId="3" xfId="45" applyFont="1" applyBorder="1" applyAlignment="1">
      <alignment horizontal="center"/>
    </xf>
    <xf numFmtId="44" fontId="3" fillId="0" borderId="0" xfId="45" applyFont="1" applyFill="1"/>
    <xf numFmtId="44" fontId="3" fillId="0" borderId="46" xfId="45" applyFont="1" applyBorder="1"/>
    <xf numFmtId="44" fontId="1" fillId="0" borderId="0" xfId="45" applyFont="1" applyFill="1"/>
    <xf numFmtId="44" fontId="3" fillId="0" borderId="7" xfId="45" applyFont="1" applyBorder="1"/>
    <xf numFmtId="44" fontId="1" fillId="0" borderId="60" xfId="0" applyNumberFormat="1" applyFont="1" applyBorder="1"/>
    <xf numFmtId="0" fontId="36" fillId="0" borderId="0" xfId="0" quotePrefix="1" applyFont="1"/>
    <xf numFmtId="44" fontId="0" fillId="0" borderId="3" xfId="34" applyNumberFormat="1" applyFont="1" applyFill="1" applyBorder="1"/>
    <xf numFmtId="0" fontId="79" fillId="0" borderId="0" xfId="274" applyFont="1"/>
    <xf numFmtId="186" fontId="79" fillId="0" borderId="0" xfId="274" applyNumberFormat="1" applyFont="1"/>
    <xf numFmtId="10" fontId="79" fillId="0" borderId="0" xfId="274" applyNumberFormat="1" applyFont="1"/>
    <xf numFmtId="0" fontId="83" fillId="0" borderId="0" xfId="284"/>
    <xf numFmtId="0" fontId="13" fillId="51" borderId="0" xfId="0" applyFont="1" applyFill="1" applyAlignment="1">
      <alignment wrapText="1"/>
    </xf>
    <xf numFmtId="14" fontId="100" fillId="0" borderId="3" xfId="90" quotePrefix="1" applyNumberFormat="1" applyFont="1" applyBorder="1" applyAlignment="1">
      <alignment horizontal="center"/>
    </xf>
    <xf numFmtId="0" fontId="83" fillId="0" borderId="0" xfId="288"/>
    <xf numFmtId="0" fontId="79" fillId="0" borderId="0" xfId="288" applyFont="1"/>
    <xf numFmtId="0" fontId="84" fillId="0" borderId="0" xfId="288" applyFont="1"/>
    <xf numFmtId="14" fontId="79" fillId="0" borderId="0" xfId="288" applyNumberFormat="1" applyFont="1"/>
    <xf numFmtId="18" fontId="79" fillId="0" borderId="0" xfId="288" applyNumberFormat="1" applyFont="1"/>
    <xf numFmtId="190" fontId="79" fillId="0" borderId="0" xfId="288" applyNumberFormat="1" applyFont="1"/>
    <xf numFmtId="186" fontId="79" fillId="0" borderId="0" xfId="288" applyNumberFormat="1" applyFont="1"/>
    <xf numFmtId="10" fontId="79" fillId="0" borderId="0" xfId="288" applyNumberFormat="1" applyFont="1"/>
    <xf numFmtId="186" fontId="79" fillId="0" borderId="99" xfId="288" applyNumberFormat="1" applyFont="1" applyBorder="1"/>
    <xf numFmtId="10" fontId="79" fillId="0" borderId="99" xfId="288" applyNumberFormat="1" applyFont="1" applyBorder="1"/>
    <xf numFmtId="0" fontId="83" fillId="0" borderId="99" xfId="288" applyBorder="1"/>
    <xf numFmtId="186" fontId="79" fillId="0" borderId="106" xfId="288" applyNumberFormat="1" applyFont="1" applyBorder="1"/>
    <xf numFmtId="10" fontId="79" fillId="0" borderId="106" xfId="288" applyNumberFormat="1" applyFont="1" applyBorder="1"/>
    <xf numFmtId="0" fontId="83" fillId="0" borderId="0" xfId="289"/>
    <xf numFmtId="0" fontId="79" fillId="0" borderId="0" xfId="289" applyFont="1"/>
    <xf numFmtId="0" fontId="84" fillId="0" borderId="0" xfId="289" applyFont="1"/>
    <xf numFmtId="4" fontId="79" fillId="0" borderId="0" xfId="289" applyNumberFormat="1" applyFont="1"/>
    <xf numFmtId="3" fontId="84" fillId="0" borderId="0" xfId="289" applyNumberFormat="1" applyFont="1"/>
    <xf numFmtId="4" fontId="84" fillId="0" borderId="0" xfId="289" applyNumberFormat="1" applyFont="1"/>
    <xf numFmtId="43" fontId="84" fillId="0" borderId="0" xfId="34" applyFont="1"/>
    <xf numFmtId="43" fontId="79" fillId="0" borderId="0" xfId="34" applyFont="1"/>
    <xf numFmtId="0" fontId="83" fillId="0" borderId="0" xfId="291"/>
    <xf numFmtId="0" fontId="79" fillId="0" borderId="0" xfId="291" applyFont="1"/>
    <xf numFmtId="0" fontId="84" fillId="0" borderId="0" xfId="291" applyFont="1"/>
    <xf numFmtId="14" fontId="79" fillId="0" borderId="0" xfId="291" applyNumberFormat="1" applyFont="1"/>
    <xf numFmtId="18" fontId="79" fillId="0" borderId="0" xfId="291" applyNumberFormat="1" applyFont="1"/>
    <xf numFmtId="4" fontId="79" fillId="0" borderId="0" xfId="291" applyNumberFormat="1" applyFont="1"/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6" fillId="0" borderId="8" xfId="91" applyFont="1" applyBorder="1" applyAlignment="1">
      <alignment horizontal="center"/>
    </xf>
    <xf numFmtId="0" fontId="17" fillId="0" borderId="8" xfId="86" applyBorder="1"/>
    <xf numFmtId="0" fontId="6" fillId="25" borderId="0" xfId="86" applyFont="1" applyFill="1" applyAlignment="1">
      <alignment horizontal="center"/>
    </xf>
    <xf numFmtId="0" fontId="17" fillId="0" borderId="0" xfId="86" applyAlignment="1">
      <alignment horizontal="center"/>
    </xf>
    <xf numFmtId="0" fontId="33" fillId="25" borderId="0" xfId="86" applyFont="1" applyFill="1" applyAlignment="1">
      <alignment horizontal="center"/>
    </xf>
    <xf numFmtId="0" fontId="17" fillId="0" borderId="0" xfId="86"/>
    <xf numFmtId="0" fontId="32" fillId="25" borderId="0" xfId="86" applyFont="1" applyFill="1" applyAlignment="1">
      <alignment horizontal="center"/>
    </xf>
    <xf numFmtId="167" fontId="32" fillId="25" borderId="0" xfId="86" applyNumberFormat="1" applyFont="1" applyFill="1" applyAlignment="1">
      <alignment horizontal="center"/>
    </xf>
    <xf numFmtId="167" fontId="17" fillId="0" borderId="0" xfId="86" applyNumberFormat="1"/>
    <xf numFmtId="0" fontId="0" fillId="0" borderId="0" xfId="0" quotePrefix="1" applyAlignment="1">
      <alignment horizont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0" fontId="3" fillId="0" borderId="0" xfId="0" quotePrefix="1" applyFont="1" applyAlignment="1">
      <alignment horizontal="center"/>
    </xf>
    <xf numFmtId="0" fontId="4" fillId="0" borderId="0" xfId="0" quotePrefix="1" applyFont="1" applyAlignment="1">
      <alignment horizontal="center"/>
    </xf>
    <xf numFmtId="0" fontId="10" fillId="0" borderId="0" xfId="0" applyFont="1" applyAlignment="1">
      <alignment horizontal="left"/>
    </xf>
    <xf numFmtId="14" fontId="3" fillId="0" borderId="0" xfId="0" applyNumberFormat="1" applyFont="1" applyAlignment="1">
      <alignment horizontal="center"/>
    </xf>
    <xf numFmtId="0" fontId="4" fillId="0" borderId="44" xfId="0" applyFont="1" applyBorder="1" applyAlignment="1">
      <alignment horizontal="center"/>
    </xf>
    <xf numFmtId="0" fontId="4" fillId="0" borderId="74" xfId="0" applyFont="1" applyBorder="1" applyAlignment="1">
      <alignment horizontal="center"/>
    </xf>
    <xf numFmtId="0" fontId="4" fillId="0" borderId="44" xfId="0" quotePrefix="1" applyFont="1" applyBorder="1" applyAlignment="1">
      <alignment horizontal="center"/>
    </xf>
    <xf numFmtId="0" fontId="35" fillId="41" borderId="56" xfId="96" quotePrefix="1" applyFont="1" applyFill="1" applyBorder="1" applyAlignment="1">
      <alignment horizontal="center"/>
    </xf>
    <xf numFmtId="0" fontId="35" fillId="41" borderId="57" xfId="96" quotePrefix="1" applyFont="1" applyFill="1" applyBorder="1" applyAlignment="1">
      <alignment horizontal="center"/>
    </xf>
    <xf numFmtId="0" fontId="35" fillId="41" borderId="58" xfId="96" quotePrefix="1" applyFont="1" applyFill="1" applyBorder="1" applyAlignment="1">
      <alignment horizontal="center"/>
    </xf>
    <xf numFmtId="0" fontId="35" fillId="41" borderId="59" xfId="90" applyFont="1" applyFill="1" applyBorder="1" applyAlignment="1">
      <alignment horizontal="center"/>
    </xf>
    <xf numFmtId="0" fontId="35" fillId="41" borderId="0" xfId="90" quotePrefix="1" applyFont="1" applyFill="1" applyAlignment="1">
      <alignment horizontal="center"/>
    </xf>
    <xf numFmtId="0" fontId="35" fillId="41" borderId="60" xfId="90" quotePrefix="1" applyFont="1" applyFill="1" applyBorder="1" applyAlignment="1">
      <alignment horizontal="center"/>
    </xf>
    <xf numFmtId="175" fontId="37" fillId="41" borderId="61" xfId="90" applyNumberFormat="1" applyFont="1" applyFill="1" applyBorder="1" applyAlignment="1">
      <alignment horizontal="center"/>
    </xf>
    <xf numFmtId="175" fontId="37" fillId="41" borderId="8" xfId="90" applyNumberFormat="1" applyFont="1" applyFill="1" applyBorder="1" applyAlignment="1">
      <alignment horizontal="center"/>
    </xf>
    <xf numFmtId="175" fontId="37" fillId="41" borderId="62" xfId="90" applyNumberFormat="1" applyFont="1" applyFill="1" applyBorder="1" applyAlignment="1">
      <alignment horizontal="center"/>
    </xf>
    <xf numFmtId="0" fontId="36" fillId="0" borderId="20" xfId="90" applyFont="1" applyBorder="1" applyAlignment="1">
      <alignment horizontal="center"/>
    </xf>
    <xf numFmtId="0" fontId="36" fillId="0" borderId="21" xfId="90" applyFont="1" applyBorder="1" applyAlignment="1">
      <alignment horizontal="center"/>
    </xf>
    <xf numFmtId="0" fontId="36" fillId="0" borderId="17" xfId="90" applyFont="1" applyBorder="1" applyAlignment="1">
      <alignment horizontal="center"/>
    </xf>
    <xf numFmtId="0" fontId="36" fillId="0" borderId="22" xfId="90" applyFont="1" applyBorder="1" applyAlignment="1">
      <alignment horizontal="center"/>
    </xf>
    <xf numFmtId="0" fontId="37" fillId="41" borderId="56" xfId="90" applyFont="1" applyFill="1" applyBorder="1" applyAlignment="1">
      <alignment horizontal="center"/>
    </xf>
    <xf numFmtId="0" fontId="37" fillId="41" borderId="57" xfId="90" applyFont="1" applyFill="1" applyBorder="1" applyAlignment="1">
      <alignment horizontal="center"/>
    </xf>
    <xf numFmtId="0" fontId="37" fillId="41" borderId="58" xfId="90" applyFont="1" applyFill="1" applyBorder="1" applyAlignment="1">
      <alignment horizontal="center"/>
    </xf>
    <xf numFmtId="0" fontId="35" fillId="41" borderId="59" xfId="92" applyFont="1" applyFill="1" applyBorder="1" applyAlignment="1">
      <alignment horizontal="center"/>
    </xf>
    <xf numFmtId="0" fontId="35" fillId="41" borderId="0" xfId="92" applyFont="1" applyFill="1" applyAlignment="1">
      <alignment horizontal="center"/>
    </xf>
    <xf numFmtId="0" fontId="35" fillId="41" borderId="60" xfId="92" applyFont="1" applyFill="1" applyBorder="1" applyAlignment="1">
      <alignment horizontal="center"/>
    </xf>
    <xf numFmtId="175" fontId="37" fillId="41" borderId="61" xfId="92" applyNumberFormat="1" applyFont="1" applyFill="1" applyBorder="1" applyAlignment="1">
      <alignment horizontal="center"/>
    </xf>
    <xf numFmtId="175" fontId="37" fillId="41" borderId="8" xfId="92" applyNumberFormat="1" applyFont="1" applyFill="1" applyBorder="1" applyAlignment="1">
      <alignment horizontal="center"/>
    </xf>
    <xf numFmtId="175" fontId="37" fillId="41" borderId="62" xfId="92" applyNumberFormat="1" applyFont="1" applyFill="1" applyBorder="1" applyAlignment="1">
      <alignment horizontal="center"/>
    </xf>
    <xf numFmtId="0" fontId="35" fillId="41" borderId="59" xfId="0" applyFont="1" applyFill="1" applyBorder="1" applyAlignment="1">
      <alignment horizontal="center"/>
    </xf>
    <xf numFmtId="0" fontId="35" fillId="41" borderId="0" xfId="0" quotePrefix="1" applyFont="1" applyFill="1" applyAlignment="1">
      <alignment horizontal="center"/>
    </xf>
    <xf numFmtId="0" fontId="35" fillId="41" borderId="60" xfId="0" quotePrefix="1" applyFont="1" applyFill="1" applyBorder="1" applyAlignment="1">
      <alignment horizontal="center"/>
    </xf>
    <xf numFmtId="0" fontId="37" fillId="41" borderId="61" xfId="0" applyFont="1" applyFill="1" applyBorder="1" applyAlignment="1">
      <alignment horizontal="center"/>
    </xf>
    <xf numFmtId="0" fontId="37" fillId="41" borderId="8" xfId="0" applyFont="1" applyFill="1" applyBorder="1" applyAlignment="1">
      <alignment horizontal="center"/>
    </xf>
    <xf numFmtId="0" fontId="37" fillId="41" borderId="62" xfId="0" applyFont="1" applyFill="1" applyBorder="1" applyAlignment="1">
      <alignment horizontal="center"/>
    </xf>
    <xf numFmtId="44" fontId="63" fillId="0" borderId="100" xfId="0" applyNumberFormat="1" applyFont="1" applyBorder="1" applyAlignment="1">
      <alignment horizontal="center" wrapText="1"/>
    </xf>
    <xf numFmtId="0" fontId="39" fillId="0" borderId="20" xfId="0" applyFont="1" applyBorder="1" applyAlignment="1">
      <alignment horizontal="center"/>
    </xf>
    <xf numFmtId="0" fontId="39" fillId="0" borderId="18" xfId="0" applyFont="1" applyBorder="1" applyAlignment="1">
      <alignment horizontal="center"/>
    </xf>
    <xf numFmtId="0" fontId="39" fillId="0" borderId="21" xfId="0" applyFont="1" applyBorder="1" applyAlignment="1">
      <alignment horizontal="center"/>
    </xf>
    <xf numFmtId="0" fontId="39" fillId="0" borderId="17" xfId="0" applyFont="1" applyBorder="1" applyAlignment="1">
      <alignment horizontal="center"/>
    </xf>
    <xf numFmtId="0" fontId="39" fillId="0" borderId="7" xfId="0" applyFont="1" applyBorder="1" applyAlignment="1">
      <alignment horizontal="center"/>
    </xf>
    <xf numFmtId="0" fontId="39" fillId="0" borderId="22" xfId="0" applyFont="1" applyBorder="1" applyAlignment="1">
      <alignment horizontal="center"/>
    </xf>
    <xf numFmtId="175" fontId="37" fillId="41" borderId="61" xfId="0" applyNumberFormat="1" applyFont="1" applyFill="1" applyBorder="1" applyAlignment="1">
      <alignment horizontal="center"/>
    </xf>
    <xf numFmtId="175" fontId="37" fillId="41" borderId="8" xfId="0" applyNumberFormat="1" applyFont="1" applyFill="1" applyBorder="1" applyAlignment="1">
      <alignment horizontal="center"/>
    </xf>
    <xf numFmtId="175" fontId="37" fillId="41" borderId="62" xfId="0" applyNumberFormat="1" applyFont="1" applyFill="1" applyBorder="1" applyAlignment="1">
      <alignment horizontal="center"/>
    </xf>
    <xf numFmtId="0" fontId="36" fillId="0" borderId="57" xfId="0" applyFont="1" applyBorder="1" applyAlignment="1">
      <alignment horizontal="center"/>
    </xf>
    <xf numFmtId="0" fontId="36" fillId="0" borderId="0" xfId="0" applyFont="1" applyAlignment="1">
      <alignment horizontal="center"/>
    </xf>
    <xf numFmtId="0" fontId="36" fillId="0" borderId="7" xfId="0" applyFont="1" applyBorder="1" applyAlignment="1">
      <alignment horizontal="center"/>
    </xf>
    <xf numFmtId="0" fontId="36" fillId="0" borderId="18" xfId="90" applyFont="1" applyBorder="1" applyAlignment="1">
      <alignment horizontal="center"/>
    </xf>
    <xf numFmtId="0" fontId="36" fillId="0" borderId="7" xfId="90" applyFont="1" applyBorder="1" applyAlignment="1">
      <alignment horizontal="center"/>
    </xf>
    <xf numFmtId="0" fontId="37" fillId="41" borderId="56" xfId="0" applyFont="1" applyFill="1" applyBorder="1" applyAlignment="1">
      <alignment horizontal="center"/>
    </xf>
    <xf numFmtId="0" fontId="0" fillId="0" borderId="57" xfId="0" applyBorder="1"/>
    <xf numFmtId="0" fontId="0" fillId="0" borderId="58" xfId="0" applyBorder="1"/>
    <xf numFmtId="0" fontId="35" fillId="41" borderId="59" xfId="0" quotePrefix="1" applyFont="1" applyFill="1" applyBorder="1" applyAlignment="1">
      <alignment horizontal="center"/>
    </xf>
    <xf numFmtId="15" fontId="35" fillId="41" borderId="61" xfId="0" applyNumberFormat="1" applyFont="1" applyFill="1" applyBorder="1" applyAlignment="1">
      <alignment horizontal="center"/>
    </xf>
    <xf numFmtId="15" fontId="35" fillId="41" borderId="8" xfId="0" quotePrefix="1" applyNumberFormat="1" applyFont="1" applyFill="1" applyBorder="1" applyAlignment="1">
      <alignment horizontal="center"/>
    </xf>
    <xf numFmtId="15" fontId="35" fillId="41" borderId="62" xfId="0" quotePrefix="1" applyNumberFormat="1" applyFont="1" applyFill="1" applyBorder="1" applyAlignment="1">
      <alignment horizontal="center"/>
    </xf>
    <xf numFmtId="0" fontId="4" fillId="0" borderId="66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70" xfId="0" applyFont="1" applyBorder="1" applyAlignment="1">
      <alignment horizontal="center" vertical="center" wrapText="1"/>
    </xf>
    <xf numFmtId="0" fontId="39" fillId="0" borderId="20" xfId="90" applyFont="1" applyBorder="1" applyAlignment="1">
      <alignment horizontal="center"/>
    </xf>
    <xf numFmtId="0" fontId="39" fillId="0" borderId="18" xfId="90" applyFont="1" applyBorder="1" applyAlignment="1">
      <alignment horizontal="center"/>
    </xf>
    <xf numFmtId="0" fontId="39" fillId="0" borderId="21" xfId="90" applyFont="1" applyBorder="1" applyAlignment="1">
      <alignment horizontal="center"/>
    </xf>
    <xf numFmtId="0" fontId="39" fillId="0" borderId="17" xfId="90" applyFont="1" applyBorder="1" applyAlignment="1">
      <alignment horizontal="center"/>
    </xf>
    <xf numFmtId="0" fontId="39" fillId="0" borderId="7" xfId="90" applyFont="1" applyBorder="1" applyAlignment="1">
      <alignment horizontal="center"/>
    </xf>
    <xf numFmtId="0" fontId="39" fillId="0" borderId="22" xfId="90" applyFont="1" applyBorder="1" applyAlignment="1">
      <alignment horizontal="center"/>
    </xf>
    <xf numFmtId="0" fontId="35" fillId="41" borderId="59" xfId="84" applyFont="1" applyFill="1" applyBorder="1" applyAlignment="1">
      <alignment horizontal="center"/>
    </xf>
    <xf numFmtId="0" fontId="35" fillId="41" borderId="0" xfId="84" applyFont="1" applyFill="1" applyAlignment="1">
      <alignment horizontal="center"/>
    </xf>
    <xf numFmtId="0" fontId="35" fillId="41" borderId="60" xfId="84" applyFont="1" applyFill="1" applyBorder="1" applyAlignment="1">
      <alignment horizontal="center"/>
    </xf>
    <xf numFmtId="175" fontId="37" fillId="41" borderId="61" xfId="84" applyNumberFormat="1" applyFont="1" applyFill="1" applyBorder="1" applyAlignment="1">
      <alignment horizontal="center"/>
    </xf>
    <xf numFmtId="175" fontId="37" fillId="41" borderId="8" xfId="84" applyNumberFormat="1" applyFont="1" applyFill="1" applyBorder="1" applyAlignment="1">
      <alignment horizontal="center"/>
    </xf>
    <xf numFmtId="175" fontId="37" fillId="41" borderId="62" xfId="84" applyNumberFormat="1" applyFont="1" applyFill="1" applyBorder="1" applyAlignment="1">
      <alignment horizontal="center"/>
    </xf>
    <xf numFmtId="0" fontId="20" fillId="0" borderId="66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0" borderId="70" xfId="0" applyFont="1" applyBorder="1" applyAlignment="1">
      <alignment horizontal="center" vertical="center" wrapText="1"/>
    </xf>
    <xf numFmtId="0" fontId="36" fillId="0" borderId="20" xfId="0" applyFont="1" applyBorder="1" applyAlignment="1">
      <alignment horizontal="center"/>
    </xf>
    <xf numFmtId="0" fontId="36" fillId="0" borderId="18" xfId="0" applyFont="1" applyBorder="1" applyAlignment="1">
      <alignment horizontal="center"/>
    </xf>
    <xf numFmtId="0" fontId="36" fillId="0" borderId="21" xfId="0" applyFont="1" applyBorder="1" applyAlignment="1">
      <alignment horizontal="center"/>
    </xf>
    <xf numFmtId="0" fontId="36" fillId="0" borderId="17" xfId="0" applyFont="1" applyBorder="1" applyAlignment="1">
      <alignment horizontal="center"/>
    </xf>
    <xf numFmtId="0" fontId="36" fillId="0" borderId="22" xfId="0" applyFont="1" applyBorder="1" applyAlignment="1">
      <alignment horizontal="center"/>
    </xf>
    <xf numFmtId="0" fontId="35" fillId="41" borderId="56" xfId="0" applyFont="1" applyFill="1" applyBorder="1" applyAlignment="1">
      <alignment horizontal="center"/>
    </xf>
    <xf numFmtId="0" fontId="35" fillId="41" borderId="57" xfId="0" applyFont="1" applyFill="1" applyBorder="1" applyAlignment="1">
      <alignment horizontal="center"/>
    </xf>
    <xf numFmtId="0" fontId="35" fillId="41" borderId="58" xfId="0" applyFont="1" applyFill="1" applyBorder="1" applyAlignment="1">
      <alignment horizontal="center"/>
    </xf>
    <xf numFmtId="0" fontId="35" fillId="41" borderId="61" xfId="0" applyFont="1" applyFill="1" applyBorder="1" applyAlignment="1">
      <alignment horizontal="center"/>
    </xf>
    <xf numFmtId="0" fontId="35" fillId="41" borderId="8" xfId="0" applyFont="1" applyFill="1" applyBorder="1" applyAlignment="1">
      <alignment horizontal="center"/>
    </xf>
    <xf numFmtId="0" fontId="35" fillId="41" borderId="62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84" fillId="0" borderId="0" xfId="0" applyFont="1"/>
  </cellXfs>
  <cellStyles count="292">
    <cellStyle name="Accent1 - 20%" xfId="1" xr:uid="{00000000-0005-0000-0000-000000000000}"/>
    <cellStyle name="Accent1 - 40%" xfId="2" xr:uid="{00000000-0005-0000-0000-000001000000}"/>
    <cellStyle name="Accent1 - 60%" xfId="3" xr:uid="{00000000-0005-0000-0000-000002000000}"/>
    <cellStyle name="Accent2 - 20%" xfId="4" xr:uid="{00000000-0005-0000-0000-000003000000}"/>
    <cellStyle name="Accent2 - 40%" xfId="5" xr:uid="{00000000-0005-0000-0000-000004000000}"/>
    <cellStyle name="Accent2 - 60%" xfId="6" xr:uid="{00000000-0005-0000-0000-000005000000}"/>
    <cellStyle name="Accent3 - 20%" xfId="7" xr:uid="{00000000-0005-0000-0000-000006000000}"/>
    <cellStyle name="Accent3 - 40%" xfId="8" xr:uid="{00000000-0005-0000-0000-000007000000}"/>
    <cellStyle name="Accent3 - 60%" xfId="9" xr:uid="{00000000-0005-0000-0000-000008000000}"/>
    <cellStyle name="Accent4 - 20%" xfId="10" xr:uid="{00000000-0005-0000-0000-000009000000}"/>
    <cellStyle name="Accent4 - 40%" xfId="11" xr:uid="{00000000-0005-0000-0000-00000A000000}"/>
    <cellStyle name="Accent4 - 60%" xfId="12" xr:uid="{00000000-0005-0000-0000-00000B000000}"/>
    <cellStyle name="Accent5 - 20%" xfId="13" xr:uid="{00000000-0005-0000-0000-00000C000000}"/>
    <cellStyle name="Accent5 - 40%" xfId="14" xr:uid="{00000000-0005-0000-0000-00000D000000}"/>
    <cellStyle name="Accent5 - 60%" xfId="15" xr:uid="{00000000-0005-0000-0000-00000E000000}"/>
    <cellStyle name="Accent6 - 20%" xfId="16" xr:uid="{00000000-0005-0000-0000-00000F000000}"/>
    <cellStyle name="Accent6 - 40%" xfId="17" xr:uid="{00000000-0005-0000-0000-000010000000}"/>
    <cellStyle name="Accent6 - 60%" xfId="18" xr:uid="{00000000-0005-0000-0000-000011000000}"/>
    <cellStyle name="B10IT" xfId="19" xr:uid="{00000000-0005-0000-0000-000012000000}"/>
    <cellStyle name="B8DUND" xfId="20" xr:uid="{00000000-0005-0000-0000-000013000000}"/>
    <cellStyle name="B8SUND" xfId="21" xr:uid="{00000000-0005-0000-0000-000014000000}"/>
    <cellStyle name="Calc Currency (0)" xfId="22" xr:uid="{00000000-0005-0000-0000-000015000000}"/>
    <cellStyle name="Calc Currency (0) 2" xfId="23" xr:uid="{00000000-0005-0000-0000-000016000000}"/>
    <cellStyle name="Calc Currency (2)" xfId="24" xr:uid="{00000000-0005-0000-0000-000017000000}"/>
    <cellStyle name="Calc Currency (2) 2" xfId="25" xr:uid="{00000000-0005-0000-0000-000018000000}"/>
    <cellStyle name="Calc Percent (0)" xfId="26" xr:uid="{00000000-0005-0000-0000-000019000000}"/>
    <cellStyle name="Calc Percent (1)" xfId="27" xr:uid="{00000000-0005-0000-0000-00001A000000}"/>
    <cellStyle name="Calc Percent (2)" xfId="28" xr:uid="{00000000-0005-0000-0000-00001B000000}"/>
    <cellStyle name="Calc Units (0)" xfId="29" xr:uid="{00000000-0005-0000-0000-00001C000000}"/>
    <cellStyle name="Calc Units (0) 2" xfId="30" xr:uid="{00000000-0005-0000-0000-00001D000000}"/>
    <cellStyle name="Calc Units (1)" xfId="31" xr:uid="{00000000-0005-0000-0000-00001E000000}"/>
    <cellStyle name="Calc Units (2)" xfId="32" xr:uid="{00000000-0005-0000-0000-00001F000000}"/>
    <cellStyle name="Calc Units (2) 2" xfId="33" xr:uid="{00000000-0005-0000-0000-000020000000}"/>
    <cellStyle name="Calculation" xfId="171" builtinId="22"/>
    <cellStyle name="Comma" xfId="34" builtinId="3"/>
    <cellStyle name="Comma [00]" xfId="35" xr:uid="{00000000-0005-0000-0000-000023000000}"/>
    <cellStyle name="Comma [00] 2" xfId="36" xr:uid="{00000000-0005-0000-0000-000024000000}"/>
    <cellStyle name="Comma [2]" xfId="37" xr:uid="{00000000-0005-0000-0000-000025000000}"/>
    <cellStyle name="Comma 2" xfId="38" xr:uid="{00000000-0005-0000-0000-000026000000}"/>
    <cellStyle name="Comma 2 2" xfId="39" xr:uid="{00000000-0005-0000-0000-000027000000}"/>
    <cellStyle name="Comma 3" xfId="40" xr:uid="{00000000-0005-0000-0000-000028000000}"/>
    <cellStyle name="Comma 3 2" xfId="41" xr:uid="{00000000-0005-0000-0000-000029000000}"/>
    <cellStyle name="Comma 4" xfId="42" xr:uid="{00000000-0005-0000-0000-00002A000000}"/>
    <cellStyle name="Comma 4 2" xfId="43" xr:uid="{00000000-0005-0000-0000-00002B000000}"/>
    <cellStyle name="Copied" xfId="44" xr:uid="{00000000-0005-0000-0000-00002C000000}"/>
    <cellStyle name="Currency" xfId="45" builtinId="4"/>
    <cellStyle name="Currency [00]" xfId="46" xr:uid="{00000000-0005-0000-0000-00002E000000}"/>
    <cellStyle name="Currency [00] 2" xfId="47" xr:uid="{00000000-0005-0000-0000-00002F000000}"/>
    <cellStyle name="Currency [2]" xfId="48" xr:uid="{00000000-0005-0000-0000-000030000000}"/>
    <cellStyle name="Currency 2" xfId="49" xr:uid="{00000000-0005-0000-0000-000031000000}"/>
    <cellStyle name="Currency 2 2" xfId="50" xr:uid="{00000000-0005-0000-0000-000032000000}"/>
    <cellStyle name="Currency 3" xfId="51" xr:uid="{00000000-0005-0000-0000-000033000000}"/>
    <cellStyle name="Currency 3 2" xfId="52" xr:uid="{00000000-0005-0000-0000-000034000000}"/>
    <cellStyle name="Date Short" xfId="53" xr:uid="{00000000-0005-0000-0000-000035000000}"/>
    <cellStyle name="Emphasis 1" xfId="54" xr:uid="{00000000-0005-0000-0000-000036000000}"/>
    <cellStyle name="Emphasis 2" xfId="55" xr:uid="{00000000-0005-0000-0000-000037000000}"/>
    <cellStyle name="Emphasis 3" xfId="56" xr:uid="{00000000-0005-0000-0000-000038000000}"/>
    <cellStyle name="Enter Currency (0)" xfId="57" xr:uid="{00000000-0005-0000-0000-000039000000}"/>
    <cellStyle name="Enter Currency (0) 2" xfId="58" xr:uid="{00000000-0005-0000-0000-00003A000000}"/>
    <cellStyle name="Enter Currency (2)" xfId="59" xr:uid="{00000000-0005-0000-0000-00003B000000}"/>
    <cellStyle name="Enter Currency (2) 2" xfId="60" xr:uid="{00000000-0005-0000-0000-00003C000000}"/>
    <cellStyle name="Enter Units (0)" xfId="61" xr:uid="{00000000-0005-0000-0000-00003D000000}"/>
    <cellStyle name="Enter Units (0) 2" xfId="62" xr:uid="{00000000-0005-0000-0000-00003E000000}"/>
    <cellStyle name="Enter Units (1)" xfId="63" xr:uid="{00000000-0005-0000-0000-00003F000000}"/>
    <cellStyle name="Enter Units (2)" xfId="64" xr:uid="{00000000-0005-0000-0000-000040000000}"/>
    <cellStyle name="Enter Units (2) 2" xfId="65" xr:uid="{00000000-0005-0000-0000-000041000000}"/>
    <cellStyle name="Entered" xfId="66" xr:uid="{00000000-0005-0000-0000-000042000000}"/>
    <cellStyle name="Grey" xfId="67" xr:uid="{00000000-0005-0000-0000-000043000000}"/>
    <cellStyle name="Header1" xfId="68" xr:uid="{00000000-0005-0000-0000-000044000000}"/>
    <cellStyle name="Header2" xfId="69" xr:uid="{00000000-0005-0000-0000-000045000000}"/>
    <cellStyle name="hman's" xfId="70" xr:uid="{00000000-0005-0000-0000-000046000000}"/>
    <cellStyle name="Hyperlink" xfId="170" builtinId="8"/>
    <cellStyle name="Input [yellow]" xfId="71" xr:uid="{00000000-0005-0000-0000-000048000000}"/>
    <cellStyle name="Link Currency (0)" xfId="72" xr:uid="{00000000-0005-0000-0000-000049000000}"/>
    <cellStyle name="Link Currency (0) 2" xfId="73" xr:uid="{00000000-0005-0000-0000-00004A000000}"/>
    <cellStyle name="Link Currency (2)" xfId="74" xr:uid="{00000000-0005-0000-0000-00004B000000}"/>
    <cellStyle name="Link Currency (2) 2" xfId="75" xr:uid="{00000000-0005-0000-0000-00004C000000}"/>
    <cellStyle name="Link Units (0)" xfId="76" xr:uid="{00000000-0005-0000-0000-00004D000000}"/>
    <cellStyle name="Link Units (0) 2" xfId="77" xr:uid="{00000000-0005-0000-0000-00004E000000}"/>
    <cellStyle name="Link Units (1)" xfId="78" xr:uid="{00000000-0005-0000-0000-00004F000000}"/>
    <cellStyle name="Link Units (2)" xfId="79" xr:uid="{00000000-0005-0000-0000-000050000000}"/>
    <cellStyle name="Link Units (2) 2" xfId="80" xr:uid="{00000000-0005-0000-0000-000051000000}"/>
    <cellStyle name="Lshade" xfId="81" xr:uid="{00000000-0005-0000-0000-000052000000}"/>
    <cellStyle name="Normal" xfId="0" builtinId="0"/>
    <cellStyle name="Normal - Style1" xfId="82" xr:uid="{00000000-0005-0000-0000-000054000000}"/>
    <cellStyle name="Normal 10" xfId="176" xr:uid="{5F1CC2F2-81BB-49EE-8CC6-81108AC19156}"/>
    <cellStyle name="Normal 100" xfId="266" xr:uid="{24970272-BD9C-4BB5-84D6-6FBA688B7EA9}"/>
    <cellStyle name="Normal 101" xfId="267" xr:uid="{EDB0AE22-EAD8-4FAB-92E0-EBF3DF45084A}"/>
    <cellStyle name="Normal 102" xfId="268" xr:uid="{40F7D8AD-CF8D-4EC9-A5E7-58BB1509DB29}"/>
    <cellStyle name="Normal 103" xfId="269" xr:uid="{A655BF40-7BFC-40C4-8863-F9FF14F5C9A0}"/>
    <cellStyle name="Normal 104" xfId="270" xr:uid="{E8BE5334-7B1C-428F-A720-2EF1071CB329}"/>
    <cellStyle name="Normal 105" xfId="271" xr:uid="{BF4B39CB-9214-44FD-B243-61398F03092D}"/>
    <cellStyle name="Normal 106" xfId="272" xr:uid="{1F742F05-5636-4F2E-97EC-4ECD7783D6F0}"/>
    <cellStyle name="Normal 107" xfId="273" xr:uid="{FC28235F-C64F-487B-960B-898E99D40F0C}"/>
    <cellStyle name="Normal 108" xfId="274" xr:uid="{F78501F3-7135-449F-9709-4AB8407BDD4B}"/>
    <cellStyle name="Normal 109" xfId="275" xr:uid="{306621E6-6B14-4576-B5ED-80400F299EEC}"/>
    <cellStyle name="Normal 11" xfId="177" xr:uid="{BBBBE9EA-288A-44B2-AD01-9AEC15037E85}"/>
    <cellStyle name="Normal 110" xfId="276" xr:uid="{F987DA91-3426-4D95-80F1-4C86197509DC}"/>
    <cellStyle name="Normal 111" xfId="277" xr:uid="{60B48463-C6CE-4586-9B8E-4E1A779C4579}"/>
    <cellStyle name="Normal 112" xfId="278" xr:uid="{F37DE483-0447-4ADC-9904-14B2A6106CF5}"/>
    <cellStyle name="Normal 113" xfId="279" xr:uid="{BA7CAAF4-B783-4E97-B1C0-5BFABE1BCEE9}"/>
    <cellStyle name="Normal 114" xfId="280" xr:uid="{94CEE375-9A7B-41D6-894B-ABF5A62372E0}"/>
    <cellStyle name="Normal 115" xfId="281" xr:uid="{DAB48412-AED6-4248-B920-6BEDFACACB28}"/>
    <cellStyle name="Normal 116" xfId="282" xr:uid="{20F0F123-E3B7-4E29-A180-5D1EA294783B}"/>
    <cellStyle name="Normal 117" xfId="283" xr:uid="{76DB4543-C2F0-451A-BEFA-8E28E7900816}"/>
    <cellStyle name="Normal 118" xfId="284" xr:uid="{9D5162E3-B785-4A81-B7AB-FFBD960F1082}"/>
    <cellStyle name="Normal 119" xfId="285" xr:uid="{FD7D802E-872C-474E-BD2B-CC3524D3C83F}"/>
    <cellStyle name="Normal 12" xfId="178" xr:uid="{59FBCA8E-9C28-435A-B6DD-CCB626D79C5A}"/>
    <cellStyle name="Normal 120" xfId="286" xr:uid="{A2906047-97E4-485A-B4E9-FCF72D0B2000}"/>
    <cellStyle name="Normal 121" xfId="287" xr:uid="{EB8191D4-314E-415C-A117-2FE188F473E5}"/>
    <cellStyle name="Normal 122" xfId="288" xr:uid="{920C5F75-2861-4CA0-A885-AA1CD3DA496E}"/>
    <cellStyle name="Normal 123" xfId="289" xr:uid="{56BC5E08-6E46-4230-A371-0AB816324E4A}"/>
    <cellStyle name="Normal 124" xfId="290" xr:uid="{A5DD1B88-F16C-46AF-AC0B-EC40978A6413}"/>
    <cellStyle name="Normal 125" xfId="291" xr:uid="{AB1F14D6-3928-4AA1-8C83-8759B9E12126}"/>
    <cellStyle name="Normal 13" xfId="179" xr:uid="{AA8AF955-3E86-4EBE-9235-553665DFD90A}"/>
    <cellStyle name="Normal 14" xfId="180" xr:uid="{51E34E4A-34B1-4166-89E7-53B2C1DB6BEA}"/>
    <cellStyle name="Normal 15" xfId="181" xr:uid="{5D808D3D-1C81-4D38-82B0-271FF809DDC1}"/>
    <cellStyle name="Normal 16" xfId="182" xr:uid="{01A40ED2-2CDB-43D9-B910-A8431276DA2F}"/>
    <cellStyle name="Normal 17" xfId="183" xr:uid="{4B9ABBBC-35BD-45CC-8C5C-0E0C77207AD4}"/>
    <cellStyle name="Normal 18" xfId="184" xr:uid="{F777AAF5-4B18-4E69-86E6-C35B04BCF696}"/>
    <cellStyle name="Normal 19" xfId="185" xr:uid="{ADE7CB75-2929-481E-9E6E-EFD7E691D539}"/>
    <cellStyle name="Normal 2" xfId="83" xr:uid="{00000000-0005-0000-0000-000055000000}"/>
    <cellStyle name="Normal 2 2" xfId="84" xr:uid="{00000000-0005-0000-0000-000056000000}"/>
    <cellStyle name="Normal 2 2 2" xfId="85" xr:uid="{00000000-0005-0000-0000-000057000000}"/>
    <cellStyle name="Normal 20" xfId="186" xr:uid="{F4C13057-46F5-47A1-9D4D-5238141B5C2F}"/>
    <cellStyle name="Normal 21" xfId="187" xr:uid="{8B2584ED-A3AB-4090-9372-C9FDE035C412}"/>
    <cellStyle name="Normal 22" xfId="188" xr:uid="{8B44D505-F5C1-4AD4-BDD1-AAA930D4F5F0}"/>
    <cellStyle name="Normal 23" xfId="189" xr:uid="{1CA00620-B431-47EC-8284-CDA590C10D7C}"/>
    <cellStyle name="Normal 24" xfId="190" xr:uid="{A8A5131C-AAA3-4CF5-BA06-1DD76DA30306}"/>
    <cellStyle name="Normal 25" xfId="191" xr:uid="{13B80428-BCC1-4F37-A515-FC1A3A86C4D1}"/>
    <cellStyle name="Normal 26" xfId="192" xr:uid="{ED0F0020-22DB-472C-96A6-5035393BE964}"/>
    <cellStyle name="Normal 27" xfId="193" xr:uid="{3D49D8FC-9262-4F60-AECA-B3F380381427}"/>
    <cellStyle name="Normal 28" xfId="194" xr:uid="{2D954C7A-E39A-47E7-B5FE-EFECD0203EB3}"/>
    <cellStyle name="Normal 29" xfId="195" xr:uid="{C17AFD91-230F-4C7F-9152-666E07F595AC}"/>
    <cellStyle name="Normal 3" xfId="86" xr:uid="{00000000-0005-0000-0000-000058000000}"/>
    <cellStyle name="Normal 30" xfId="196" xr:uid="{EBC595D7-29D5-4AB7-9E61-190B71211EED}"/>
    <cellStyle name="Normal 31" xfId="197" xr:uid="{8725E720-9C8B-4172-AB57-E33D01B2EB07}"/>
    <cellStyle name="Normal 32" xfId="198" xr:uid="{C3650BD3-7B46-40AF-8A5D-C5A13E95D292}"/>
    <cellStyle name="Normal 33" xfId="199" xr:uid="{ECEB1436-2B0E-4274-B2BF-BBBCAA0F28D1}"/>
    <cellStyle name="Normal 34" xfId="200" xr:uid="{32CAF77D-1F79-448C-A874-A0D06038195F}"/>
    <cellStyle name="Normal 35" xfId="201" xr:uid="{26D2DC5F-52BD-4AC7-9840-9DFFA240B5BD}"/>
    <cellStyle name="Normal 36" xfId="202" xr:uid="{0F677CFE-A6A0-4257-A0F6-36F85CFF1DD0}"/>
    <cellStyle name="Normal 37" xfId="203" xr:uid="{0BA90CCB-51ED-40C6-B912-80002C7CF0E0}"/>
    <cellStyle name="Normal 38" xfId="204" xr:uid="{7DC10597-4EB2-4181-AC02-F92FD3F5BBAC}"/>
    <cellStyle name="Normal 39" xfId="205" xr:uid="{2FF5C6EE-9E4F-4F03-AA43-0748686A6B95}"/>
    <cellStyle name="Normal 4" xfId="87" xr:uid="{00000000-0005-0000-0000-000059000000}"/>
    <cellStyle name="Normal 4 2" xfId="88" xr:uid="{00000000-0005-0000-0000-00005A000000}"/>
    <cellStyle name="Normal 4 3" xfId="89" xr:uid="{00000000-0005-0000-0000-00005B000000}"/>
    <cellStyle name="Normal 40" xfId="206" xr:uid="{84C22FC1-A5AC-408A-8761-DE3C6F1F89F7}"/>
    <cellStyle name="Normal 41" xfId="207" xr:uid="{8EEF2DFA-2A02-48FA-9959-110740E67385}"/>
    <cellStyle name="Normal 42" xfId="208" xr:uid="{F32FDD8C-661E-48EB-B04A-A37713AFF656}"/>
    <cellStyle name="Normal 43" xfId="209" xr:uid="{69C934D0-BC6C-4E65-ACC5-A6127940A0C6}"/>
    <cellStyle name="Normal 44" xfId="210" xr:uid="{BB1F7A20-DB00-4603-8A5D-600DEA1E474B}"/>
    <cellStyle name="Normal 45" xfId="211" xr:uid="{DF370686-2FF4-44DD-A729-7028D8A71336}"/>
    <cellStyle name="Normal 46" xfId="212" xr:uid="{3D14A503-5EA2-47EF-981D-60C6A3794BFC}"/>
    <cellStyle name="Normal 47" xfId="213" xr:uid="{75122F50-F3EA-41BA-88D4-28C045996228}"/>
    <cellStyle name="Normal 48" xfId="214" xr:uid="{5666DAED-78ED-41DD-AA19-9773D0E35F19}"/>
    <cellStyle name="Normal 49" xfId="215" xr:uid="{48521B76-AC56-403B-AB8E-9A3154C534E7}"/>
    <cellStyle name="Normal 5" xfId="90" xr:uid="{00000000-0005-0000-0000-00005C000000}"/>
    <cellStyle name="Normal 50" xfId="216" xr:uid="{F84CEA3F-5EB7-4FDF-9678-D75C9A85C284}"/>
    <cellStyle name="Normal 51" xfId="217" xr:uid="{C8A5DE65-0D56-4659-A1B3-96151ED4EDDC}"/>
    <cellStyle name="Normal 52" xfId="218" xr:uid="{D80E6893-FC81-44DC-A274-21428E87814D}"/>
    <cellStyle name="Normal 53" xfId="219" xr:uid="{F74A6BD1-9F2A-4866-A9DF-21F2162B04EE}"/>
    <cellStyle name="Normal 54" xfId="220" xr:uid="{B5B24983-B0EB-4D5B-9391-4CA978E55FC2}"/>
    <cellStyle name="Normal 55" xfId="221" xr:uid="{5781C58C-0B9E-4C95-9C19-939D984D3641}"/>
    <cellStyle name="Normal 56" xfId="222" xr:uid="{16B6AA88-F3C1-44EB-9500-4339BE8F82BE}"/>
    <cellStyle name="Normal 57" xfId="223" xr:uid="{AF7BCCE4-F232-4EDB-907C-2E2A3190022E}"/>
    <cellStyle name="Normal 58" xfId="224" xr:uid="{5656B703-5116-4961-AF8A-6EA08DAD555E}"/>
    <cellStyle name="Normal 59" xfId="225" xr:uid="{70042C63-E06B-4AC1-9FE3-8E632024595B}"/>
    <cellStyle name="Normal 6" xfId="172" xr:uid="{ACBE87AF-B50C-4917-B51A-E645451AC064}"/>
    <cellStyle name="Normal 60" xfId="226" xr:uid="{5A2D9676-B45A-4264-AF76-BF2050A4A802}"/>
    <cellStyle name="Normal 61" xfId="227" xr:uid="{5B2131FA-DE0E-4299-A447-949CF52F9549}"/>
    <cellStyle name="Normal 62" xfId="228" xr:uid="{D8B58550-FA98-4A20-A00D-1B658AE6E47F}"/>
    <cellStyle name="Normal 63" xfId="229" xr:uid="{53BB150F-415D-4744-8BC4-C541D03463EC}"/>
    <cellStyle name="Normal 64" xfId="230" xr:uid="{BDD8FD91-B117-453A-B648-6686082C09EF}"/>
    <cellStyle name="Normal 65" xfId="231" xr:uid="{37D2665D-5190-4907-92D8-8A711CD8E93D}"/>
    <cellStyle name="Normal 66" xfId="232" xr:uid="{B57C2899-9929-4915-AD30-629E806D81A9}"/>
    <cellStyle name="Normal 67" xfId="233" xr:uid="{7E5D7C1B-CDAF-4E89-A21B-8B8FFFBA0388}"/>
    <cellStyle name="Normal 68" xfId="234" xr:uid="{3B5202C9-5804-4D81-ABF0-307029B9D839}"/>
    <cellStyle name="Normal 69" xfId="235" xr:uid="{1290CAE4-F993-4E2F-97C6-311D9180A571}"/>
    <cellStyle name="Normal 7" xfId="173" xr:uid="{D98A70E6-D8A1-42AC-9BD7-19D897F833DE}"/>
    <cellStyle name="Normal 70" xfId="236" xr:uid="{4AB30E5C-6157-4138-BF2E-E72FB8EC9CAD}"/>
    <cellStyle name="Normal 71" xfId="237" xr:uid="{015AE592-BD49-4C3D-A169-82938FDEECA3}"/>
    <cellStyle name="Normal 72" xfId="238" xr:uid="{33C9BBF0-0A5B-4E9E-A174-8AAAF80CF573}"/>
    <cellStyle name="Normal 73" xfId="239" xr:uid="{1E30BC29-B732-41E7-826F-A8C1570B4990}"/>
    <cellStyle name="Normal 74" xfId="240" xr:uid="{1A084527-AAA8-42E0-AE31-39940AD3825F}"/>
    <cellStyle name="Normal 75" xfId="241" xr:uid="{B0F285BB-3D04-420A-9617-72984394DA60}"/>
    <cellStyle name="Normal 76" xfId="242" xr:uid="{929EEF65-A737-4C0F-8EB3-D6E9502740A7}"/>
    <cellStyle name="Normal 77" xfId="243" xr:uid="{074AA2A2-2A69-4BC4-BE16-02955DF296A3}"/>
    <cellStyle name="Normal 78" xfId="244" xr:uid="{918C7BA0-879D-4FD7-9368-CDA745B9DBA0}"/>
    <cellStyle name="Normal 79" xfId="245" xr:uid="{34030CF7-4136-4EBA-A5B9-4E26D29FE8BD}"/>
    <cellStyle name="Normal 8" xfId="174" xr:uid="{FBE3F3CA-3CB0-41A1-A2D6-C5C3F6FFEF1F}"/>
    <cellStyle name="Normal 80" xfId="246" xr:uid="{7337B17C-7F81-44DA-9839-CCE0D4B0FF21}"/>
    <cellStyle name="Normal 81" xfId="247" xr:uid="{1D8B5F78-6816-49CE-98C9-B8C1FEBCA674}"/>
    <cellStyle name="Normal 82" xfId="248" xr:uid="{3B32DF1C-477A-4520-943D-10847923680B}"/>
    <cellStyle name="Normal 83" xfId="249" xr:uid="{735A9F61-3A0A-4D4A-B06F-AAB259284F55}"/>
    <cellStyle name="Normal 84" xfId="250" xr:uid="{FE77DC76-A495-43A6-B888-F9F46C0BFC00}"/>
    <cellStyle name="Normal 85" xfId="251" xr:uid="{18B60C33-8003-4961-84D0-A66500D79BFC}"/>
    <cellStyle name="Normal 86" xfId="252" xr:uid="{50429B3A-9A46-45B5-BC6F-CD5933FBA6B4}"/>
    <cellStyle name="Normal 87" xfId="253" xr:uid="{66872E74-44C8-4788-B33A-EA1C4D7E178E}"/>
    <cellStyle name="Normal 88" xfId="254" xr:uid="{6511E4CA-1C9D-4365-B67A-5253956EC0A4}"/>
    <cellStyle name="Normal 89" xfId="255" xr:uid="{0DC4C183-C5EB-48AB-BF45-753046A1374A}"/>
    <cellStyle name="Normal 9" xfId="175" xr:uid="{57A5DD62-E322-4DDF-BEAE-9B7DA4BA16C0}"/>
    <cellStyle name="Normal 90" xfId="256" xr:uid="{0EDD49C6-BA9A-4F58-86FF-7161447979AA}"/>
    <cellStyle name="Normal 91" xfId="257" xr:uid="{A6E1140F-CC64-4984-9E01-B23ED9AD31D1}"/>
    <cellStyle name="Normal 92" xfId="258" xr:uid="{FE1D67AD-1CE5-4379-8F6D-11DC4D9600BC}"/>
    <cellStyle name="Normal 93" xfId="259" xr:uid="{976DB626-93AD-4C83-9CFB-B463DBA07AAE}"/>
    <cellStyle name="Normal 94" xfId="260" xr:uid="{5CD723A0-10E9-4DD0-AEC1-BC77AD5727DE}"/>
    <cellStyle name="Normal 95" xfId="261" xr:uid="{24457522-AFB8-415E-9331-B0BAD9357509}"/>
    <cellStyle name="Normal 96" xfId="262" xr:uid="{9B981F9B-3AF9-4F51-A6A9-85E53CE27230}"/>
    <cellStyle name="Normal 97" xfId="263" xr:uid="{53937FA9-4E1D-48DF-8ECD-0F95C2F1A0A5}"/>
    <cellStyle name="Normal 98" xfId="264" xr:uid="{2BE9C89C-CBA5-4AD7-A797-623492D16501}"/>
    <cellStyle name="Normal 99" xfId="265" xr:uid="{F48B441E-64B1-4B17-AD1F-08883D98D2A4}"/>
    <cellStyle name="Normal_2002 Bank Rec." xfId="91" xr:uid="{00000000-0005-0000-0000-00005D000000}"/>
    <cellStyle name="Normal_Bad Debt Reserves" xfId="92" xr:uid="{00000000-0005-0000-0000-00005E000000}"/>
    <cellStyle name="Normal_FI Balance Sheet Schedule1.xls" xfId="93" xr:uid="{00000000-0005-0000-0000-000062000000}"/>
    <cellStyle name="Normal_FI BS Schedules" xfId="94" xr:uid="{00000000-0005-0000-0000-000063000000}"/>
    <cellStyle name="Normal_INCOME VAR" xfId="95" xr:uid="{00000000-0005-0000-0000-000064000000}"/>
    <cellStyle name="Normal_Receivable Schedule" xfId="96" xr:uid="{00000000-0005-0000-0000-000065000000}"/>
    <cellStyle name="Percent" xfId="97" builtinId="5"/>
    <cellStyle name="Percent [0]" xfId="98" xr:uid="{00000000-0005-0000-0000-000067000000}"/>
    <cellStyle name="Percent [00]" xfId="99" xr:uid="{00000000-0005-0000-0000-000068000000}"/>
    <cellStyle name="Percent [00] 2" xfId="100" xr:uid="{00000000-0005-0000-0000-000069000000}"/>
    <cellStyle name="Percent [2]" xfId="101" xr:uid="{00000000-0005-0000-0000-00006A000000}"/>
    <cellStyle name="Percent 2" xfId="102" xr:uid="{00000000-0005-0000-0000-00006B000000}"/>
    <cellStyle name="PrePop Currency (0)" xfId="103" xr:uid="{00000000-0005-0000-0000-00006C000000}"/>
    <cellStyle name="PrePop Currency (0) 2" xfId="104" xr:uid="{00000000-0005-0000-0000-00006D000000}"/>
    <cellStyle name="PrePop Currency (2)" xfId="105" xr:uid="{00000000-0005-0000-0000-00006E000000}"/>
    <cellStyle name="PrePop Currency (2) 2" xfId="106" xr:uid="{00000000-0005-0000-0000-00006F000000}"/>
    <cellStyle name="PrePop Units (0)" xfId="107" xr:uid="{00000000-0005-0000-0000-000070000000}"/>
    <cellStyle name="PrePop Units (0) 2" xfId="108" xr:uid="{00000000-0005-0000-0000-000071000000}"/>
    <cellStyle name="PrePop Units (1)" xfId="109" xr:uid="{00000000-0005-0000-0000-000072000000}"/>
    <cellStyle name="PrePop Units (2)" xfId="110" xr:uid="{00000000-0005-0000-0000-000073000000}"/>
    <cellStyle name="PrePop Units (2) 2" xfId="111" xr:uid="{00000000-0005-0000-0000-000074000000}"/>
    <cellStyle name="RevList" xfId="112" xr:uid="{00000000-0005-0000-0000-000075000000}"/>
    <cellStyle name="SAPBEXaggData" xfId="113" xr:uid="{00000000-0005-0000-0000-000076000000}"/>
    <cellStyle name="SAPBEXaggDataEmph" xfId="114" xr:uid="{00000000-0005-0000-0000-000077000000}"/>
    <cellStyle name="SAPBEXaggItem" xfId="115" xr:uid="{00000000-0005-0000-0000-000078000000}"/>
    <cellStyle name="SAPBEXaggItemX" xfId="116" xr:uid="{00000000-0005-0000-0000-000079000000}"/>
    <cellStyle name="SAPBEXchaText" xfId="117" xr:uid="{00000000-0005-0000-0000-00007A000000}"/>
    <cellStyle name="SAPBEXexcBad7" xfId="118" xr:uid="{00000000-0005-0000-0000-00007B000000}"/>
    <cellStyle name="SAPBEXexcBad8" xfId="119" xr:uid="{00000000-0005-0000-0000-00007C000000}"/>
    <cellStyle name="SAPBEXexcBad9" xfId="120" xr:uid="{00000000-0005-0000-0000-00007D000000}"/>
    <cellStyle name="SAPBEXexcCritical4" xfId="121" xr:uid="{00000000-0005-0000-0000-00007E000000}"/>
    <cellStyle name="SAPBEXexcCritical5" xfId="122" xr:uid="{00000000-0005-0000-0000-00007F000000}"/>
    <cellStyle name="SAPBEXexcCritical6" xfId="123" xr:uid="{00000000-0005-0000-0000-000080000000}"/>
    <cellStyle name="SAPBEXexcGood1" xfId="124" xr:uid="{00000000-0005-0000-0000-000081000000}"/>
    <cellStyle name="SAPBEXexcGood2" xfId="125" xr:uid="{00000000-0005-0000-0000-000082000000}"/>
    <cellStyle name="SAPBEXexcGood3" xfId="126" xr:uid="{00000000-0005-0000-0000-000083000000}"/>
    <cellStyle name="SAPBEXfilterDrill" xfId="127" xr:uid="{00000000-0005-0000-0000-000084000000}"/>
    <cellStyle name="SAPBEXfilterItem" xfId="128" xr:uid="{00000000-0005-0000-0000-000085000000}"/>
    <cellStyle name="SAPBEXfilterText" xfId="129" xr:uid="{00000000-0005-0000-0000-000086000000}"/>
    <cellStyle name="SAPBEXformats" xfId="130" xr:uid="{00000000-0005-0000-0000-000087000000}"/>
    <cellStyle name="SAPBEXheaderItem" xfId="131" xr:uid="{00000000-0005-0000-0000-000088000000}"/>
    <cellStyle name="SAPBEXheaderText" xfId="132" xr:uid="{00000000-0005-0000-0000-000089000000}"/>
    <cellStyle name="SAPBEXHLevel0" xfId="133" xr:uid="{00000000-0005-0000-0000-00008A000000}"/>
    <cellStyle name="SAPBEXHLevel0 2" xfId="134" xr:uid="{00000000-0005-0000-0000-00008B000000}"/>
    <cellStyle name="SAPBEXHLevel0X" xfId="135" xr:uid="{00000000-0005-0000-0000-00008C000000}"/>
    <cellStyle name="SAPBEXHLevel0X 2" xfId="136" xr:uid="{00000000-0005-0000-0000-00008D000000}"/>
    <cellStyle name="SAPBEXHLevel1" xfId="137" xr:uid="{00000000-0005-0000-0000-00008E000000}"/>
    <cellStyle name="SAPBEXHLevel1 2" xfId="138" xr:uid="{00000000-0005-0000-0000-00008F000000}"/>
    <cellStyle name="SAPBEXHLevel1X" xfId="139" xr:uid="{00000000-0005-0000-0000-000090000000}"/>
    <cellStyle name="SAPBEXHLevel1X 2" xfId="140" xr:uid="{00000000-0005-0000-0000-000091000000}"/>
    <cellStyle name="SAPBEXHLevel2" xfId="141" xr:uid="{00000000-0005-0000-0000-000092000000}"/>
    <cellStyle name="SAPBEXHLevel2 2" xfId="142" xr:uid="{00000000-0005-0000-0000-000093000000}"/>
    <cellStyle name="SAPBEXHLevel2X" xfId="143" xr:uid="{00000000-0005-0000-0000-000094000000}"/>
    <cellStyle name="SAPBEXHLevel2X 2" xfId="144" xr:uid="{00000000-0005-0000-0000-000095000000}"/>
    <cellStyle name="SAPBEXHLevel3" xfId="145" xr:uid="{00000000-0005-0000-0000-000096000000}"/>
    <cellStyle name="SAPBEXHLevel3 2" xfId="146" xr:uid="{00000000-0005-0000-0000-000097000000}"/>
    <cellStyle name="SAPBEXHLevel3X" xfId="147" xr:uid="{00000000-0005-0000-0000-000098000000}"/>
    <cellStyle name="SAPBEXHLevel3X 2" xfId="148" xr:uid="{00000000-0005-0000-0000-000099000000}"/>
    <cellStyle name="SAPBEXinputData" xfId="149" xr:uid="{00000000-0005-0000-0000-00009A000000}"/>
    <cellStyle name="SAPBEXinputData 2" xfId="150" xr:uid="{00000000-0005-0000-0000-00009B000000}"/>
    <cellStyle name="SAPBEXItemHeader" xfId="151" xr:uid="{00000000-0005-0000-0000-00009C000000}"/>
    <cellStyle name="SAPBEXresData" xfId="152" xr:uid="{00000000-0005-0000-0000-00009D000000}"/>
    <cellStyle name="SAPBEXresDataEmph" xfId="153" xr:uid="{00000000-0005-0000-0000-00009E000000}"/>
    <cellStyle name="SAPBEXresItem" xfId="154" xr:uid="{00000000-0005-0000-0000-00009F000000}"/>
    <cellStyle name="SAPBEXresItemX" xfId="155" xr:uid="{00000000-0005-0000-0000-0000A0000000}"/>
    <cellStyle name="SAPBEXstdData" xfId="156" xr:uid="{00000000-0005-0000-0000-0000A1000000}"/>
    <cellStyle name="SAPBEXstdDataEmph" xfId="157" xr:uid="{00000000-0005-0000-0000-0000A2000000}"/>
    <cellStyle name="SAPBEXstdItem" xfId="158" xr:uid="{00000000-0005-0000-0000-0000A3000000}"/>
    <cellStyle name="SAPBEXstdItemX" xfId="159" xr:uid="{00000000-0005-0000-0000-0000A4000000}"/>
    <cellStyle name="SAPBEXtitle" xfId="160" xr:uid="{00000000-0005-0000-0000-0000A5000000}"/>
    <cellStyle name="SAPBEXunassignedItem" xfId="161" xr:uid="{00000000-0005-0000-0000-0000A6000000}"/>
    <cellStyle name="SAPBEXundefined" xfId="162" xr:uid="{00000000-0005-0000-0000-0000A7000000}"/>
    <cellStyle name="Sheet Title" xfId="163" xr:uid="{00000000-0005-0000-0000-0000A8000000}"/>
    <cellStyle name="Style 1" xfId="164" xr:uid="{00000000-0005-0000-0000-0000A9000000}"/>
    <cellStyle name="Style 1 2" xfId="165" xr:uid="{00000000-0005-0000-0000-0000AA000000}"/>
    <cellStyle name="Subtotal" xfId="166" xr:uid="{00000000-0005-0000-0000-0000AB000000}"/>
    <cellStyle name="Text Indent A" xfId="167" xr:uid="{00000000-0005-0000-0000-0000AC000000}"/>
    <cellStyle name="Text Indent B" xfId="168" xr:uid="{00000000-0005-0000-0000-0000AD000000}"/>
    <cellStyle name="Text Indent C" xfId="169" xr:uid="{00000000-0005-0000-0000-0000AE000000}"/>
  </cellStyles>
  <dxfs count="1">
    <dxf>
      <fill>
        <patternFill>
          <bgColor theme="0" tint="-0.1499679555650502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5B5B5B"/>
      <rgbColor rgb="00008080"/>
      <rgbColor rgb="00AAAAAA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59595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calcChain" Target="calcChain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sharedStrings" Target="sharedString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</xdr:row>
      <xdr:rowOff>9525</xdr:rowOff>
    </xdr:from>
    <xdr:to>
      <xdr:col>3</xdr:col>
      <xdr:colOff>2981325</xdr:colOff>
      <xdr:row>2</xdr:row>
      <xdr:rowOff>0</xdr:rowOff>
    </xdr:to>
    <xdr:sp macro="" textlink="">
      <xdr:nvSpPr>
        <xdr:cNvPr id="124917" name="Rectangle 17">
          <a:extLst>
            <a:ext uri="{FF2B5EF4-FFF2-40B4-BE49-F238E27FC236}">
              <a16:creationId xmlns:a16="http://schemas.microsoft.com/office/drawing/2014/main" id="{00000000-0008-0000-0400-0000F5E70100}"/>
            </a:ext>
          </a:extLst>
        </xdr:cNvPr>
        <xdr:cNvSpPr>
          <a:spLocks noChangeArrowheads="1"/>
        </xdr:cNvSpPr>
      </xdr:nvSpPr>
      <xdr:spPr bwMode="auto">
        <a:xfrm>
          <a:off x="9525" y="257175"/>
          <a:ext cx="5915025" cy="1047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107763" dir="2700000" algn="ctr" rotWithShape="0">
            <a:srgbClr val="808080"/>
          </a:outerShdw>
        </a:effec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139700</xdr:colOff>
      <xdr:row>0</xdr:row>
      <xdr:rowOff>152400</xdr:rowOff>
    </xdr:from>
    <xdr:to>
      <xdr:col>1</xdr:col>
      <xdr:colOff>1031875</xdr:colOff>
      <xdr:row>7</xdr:row>
      <xdr:rowOff>69850</xdr:rowOff>
    </xdr:to>
    <xdr:pic>
      <xdr:nvPicPr>
        <xdr:cNvPr id="2" name="Picture 193">
          <a:extLst>
            <a:ext uri="{FF2B5EF4-FFF2-40B4-BE49-F238E27FC236}">
              <a16:creationId xmlns:a16="http://schemas.microsoft.com/office/drawing/2014/main" id="{A9CFE334-F039-48A9-AD3E-94B9A8A136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700" y="152400"/>
          <a:ext cx="1577975" cy="1041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95250</xdr:colOff>
      <xdr:row>91</xdr:row>
      <xdr:rowOff>111125</xdr:rowOff>
    </xdr:from>
    <xdr:to>
      <xdr:col>40</xdr:col>
      <xdr:colOff>179831</xdr:colOff>
      <xdr:row>100</xdr:row>
      <xdr:rowOff>50314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77C09B-07AF-4861-9483-4FD6E03751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77300" y="13198475"/>
          <a:ext cx="13137007" cy="1650514"/>
        </a:xfrm>
        <a:prstGeom prst="rect">
          <a:avLst/>
        </a:prstGeom>
      </xdr:spPr>
    </xdr:pic>
    <xdr:clientData/>
  </xdr:twoCellAnchor>
  <xdr:twoCellAnchor editAs="oneCell">
    <xdr:from>
      <xdr:col>21</xdr:col>
      <xdr:colOff>190500</xdr:colOff>
      <xdr:row>105</xdr:row>
      <xdr:rowOff>66675</xdr:rowOff>
    </xdr:from>
    <xdr:to>
      <xdr:col>36</xdr:col>
      <xdr:colOff>124281</xdr:colOff>
      <xdr:row>123</xdr:row>
      <xdr:rowOff>126638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8D2646-B52C-4A54-A10B-2F6A567B36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972550" y="15420975"/>
          <a:ext cx="10341432" cy="2971436"/>
        </a:xfrm>
        <a:prstGeom prst="rect">
          <a:avLst/>
        </a:prstGeom>
      </xdr:spPr>
    </xdr:pic>
    <xdr:clientData/>
  </xdr:twoCellAnchor>
  <xdr:twoCellAnchor editAs="oneCell">
    <xdr:from>
      <xdr:col>21</xdr:col>
      <xdr:colOff>191944</xdr:colOff>
      <xdr:row>125</xdr:row>
      <xdr:rowOff>7215</xdr:rowOff>
    </xdr:from>
    <xdr:to>
      <xdr:col>29</xdr:col>
      <xdr:colOff>414514</xdr:colOff>
      <xdr:row>150</xdr:row>
      <xdr:rowOff>67460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FD7DECE-7A45-8A97-15A2-E2CAA27D0A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780126" y="20315670"/>
          <a:ext cx="6272389" cy="410115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647700</xdr:colOff>
      <xdr:row>96</xdr:row>
      <xdr:rowOff>83820</xdr:rowOff>
    </xdr:from>
    <xdr:to>
      <xdr:col>10</xdr:col>
      <xdr:colOff>6265</xdr:colOff>
      <xdr:row>106</xdr:row>
      <xdr:rowOff>150009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0F83F7-EFD0-2E41-50F3-C7DE72BAC2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7700" y="12763500"/>
          <a:ext cx="12863675" cy="1729890"/>
        </a:xfrm>
        <a:prstGeom prst="rect">
          <a:avLst/>
        </a:prstGeom>
      </xdr:spPr>
    </xdr:pic>
    <xdr:clientData/>
  </xdr:twoCellAnchor>
  <xdr:twoCellAnchor editAs="oneCell">
    <xdr:from>
      <xdr:col>2</xdr:col>
      <xdr:colOff>289560</xdr:colOff>
      <xdr:row>107</xdr:row>
      <xdr:rowOff>152400</xdr:rowOff>
    </xdr:from>
    <xdr:to>
      <xdr:col>7</xdr:col>
      <xdr:colOff>2146333</xdr:colOff>
      <xdr:row>126</xdr:row>
      <xdr:rowOff>104411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A09EABD-773E-81D6-C22C-A4EA995759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43940" y="14676120"/>
          <a:ext cx="10150720" cy="3139712"/>
        </a:xfrm>
        <a:prstGeom prst="rect">
          <a:avLst/>
        </a:prstGeom>
      </xdr:spPr>
    </xdr:pic>
    <xdr:clientData/>
  </xdr:twoCellAnchor>
  <xdr:twoCellAnchor editAs="oneCell">
    <xdr:from>
      <xdr:col>7</xdr:col>
      <xdr:colOff>497417</xdr:colOff>
      <xdr:row>47</xdr:row>
      <xdr:rowOff>116417</xdr:rowOff>
    </xdr:from>
    <xdr:to>
      <xdr:col>14</xdr:col>
      <xdr:colOff>171978</xdr:colOff>
      <xdr:row>75</xdr:row>
      <xdr:rowOff>154043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CE2E6EC-9D67-1C33-B151-85EB5994AD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419167" y="5122334"/>
          <a:ext cx="7097288" cy="459904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76200</xdr:colOff>
      <xdr:row>3</xdr:row>
      <xdr:rowOff>28575</xdr:rowOff>
    </xdr:from>
    <xdr:to>
      <xdr:col>22</xdr:col>
      <xdr:colOff>401487</xdr:colOff>
      <xdr:row>10</xdr:row>
      <xdr:rowOff>54140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3FEA5D-D6F5-6369-7840-1BDE5AA5D0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29850" y="514350"/>
          <a:ext cx="10297962" cy="11812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49"/>
  <sheetViews>
    <sheetView showGridLines="0" zoomScaleNormal="100" workbookViewId="0">
      <selection activeCell="B19" sqref="B19"/>
    </sheetView>
  </sheetViews>
  <sheetFormatPr defaultRowHeight="12.75"/>
  <cols>
    <col min="1" max="1" width="30.42578125" customWidth="1"/>
    <col min="2" max="2" width="12.42578125" customWidth="1"/>
    <col min="3" max="3" width="11.42578125" customWidth="1"/>
    <col min="4" max="4" width="9.42578125" customWidth="1"/>
    <col min="6" max="6" width="18" customWidth="1"/>
    <col min="7" max="7" width="9.42578125" hidden="1" customWidth="1"/>
    <col min="8" max="8" width="1" customWidth="1"/>
    <col min="9" max="9" width="2.42578125" customWidth="1"/>
    <col min="10" max="10" width="1.5703125" hidden="1" customWidth="1"/>
  </cols>
  <sheetData>
    <row r="1" spans="1:7" ht="19.5">
      <c r="A1" s="100" t="s">
        <v>0</v>
      </c>
      <c r="B1" s="100"/>
      <c r="C1" s="101"/>
      <c r="E1" s="100" t="s">
        <v>1</v>
      </c>
    </row>
    <row r="2" spans="1:7" ht="16.5" customHeight="1"/>
    <row r="6" spans="1:7" ht="15.75">
      <c r="A6" s="1155" t="s">
        <v>2</v>
      </c>
      <c r="B6" s="1155"/>
      <c r="C6" s="1155"/>
      <c r="D6" s="1155"/>
      <c r="E6" s="1155"/>
      <c r="F6" s="1155"/>
      <c r="G6" s="1155"/>
    </row>
    <row r="8" spans="1:7">
      <c r="A8" s="1156" t="s">
        <v>3</v>
      </c>
      <c r="B8" s="1156"/>
      <c r="C8" s="1156"/>
      <c r="D8" s="1156"/>
      <c r="E8" s="1156"/>
      <c r="F8" s="1156"/>
      <c r="G8" s="1156"/>
    </row>
    <row r="9" spans="1:7" ht="9.75" customHeight="1">
      <c r="A9" s="680"/>
      <c r="B9" s="680"/>
      <c r="C9" s="680"/>
      <c r="D9" s="680"/>
      <c r="E9" s="680"/>
      <c r="F9" s="680"/>
    </row>
    <row r="10" spans="1:7">
      <c r="A10" s="1157" t="s">
        <v>4</v>
      </c>
      <c r="B10" s="1158"/>
      <c r="C10" s="1158"/>
      <c r="D10" s="1158"/>
      <c r="E10" s="1158"/>
      <c r="F10" s="1158"/>
      <c r="G10" s="1158"/>
    </row>
    <row r="11" spans="1:7">
      <c r="A11" s="1159">
        <v>40816</v>
      </c>
      <c r="B11" s="1159"/>
      <c r="C11" s="1159"/>
      <c r="D11" s="1159"/>
      <c r="E11" s="1159"/>
      <c r="F11" s="1159"/>
    </row>
    <row r="14" spans="1:7">
      <c r="A14" s="1" t="s">
        <v>5</v>
      </c>
      <c r="F14" s="4">
        <v>0</v>
      </c>
    </row>
    <row r="16" spans="1:7">
      <c r="A16" s="6" t="s">
        <v>6</v>
      </c>
    </row>
    <row r="17" spans="1:6" ht="15.75" customHeight="1">
      <c r="A17" t="s">
        <v>7</v>
      </c>
      <c r="F17" s="4">
        <v>0</v>
      </c>
    </row>
    <row r="19" spans="1:6" ht="21" customHeight="1"/>
    <row r="20" spans="1:6">
      <c r="A20" s="6" t="s">
        <v>8</v>
      </c>
    </row>
    <row r="21" spans="1:6">
      <c r="A21" t="s">
        <v>9</v>
      </c>
    </row>
    <row r="23" spans="1:6" ht="15.75" customHeight="1">
      <c r="A23" s="65" t="s">
        <v>10</v>
      </c>
      <c r="B23" s="64" t="s">
        <v>11</v>
      </c>
    </row>
    <row r="24" spans="1:6" ht="18" customHeight="1">
      <c r="B24" s="62"/>
    </row>
    <row r="25" spans="1:6">
      <c r="B25" s="63"/>
    </row>
    <row r="26" spans="1:6">
      <c r="B26" s="63"/>
    </row>
    <row r="27" spans="1:6">
      <c r="B27" s="63"/>
    </row>
    <row r="28" spans="1:6">
      <c r="B28" s="63"/>
    </row>
    <row r="29" spans="1:6">
      <c r="B29" s="62"/>
    </row>
    <row r="30" spans="1:6">
      <c r="B30" s="62"/>
      <c r="F30" s="4">
        <f>SUM(B24:B30)</f>
        <v>0</v>
      </c>
    </row>
    <row r="34" spans="1:6" ht="8.25" customHeight="1"/>
    <row r="35" spans="1:6" ht="19.5" customHeight="1" thickBot="1">
      <c r="A35" s="1" t="s">
        <v>12</v>
      </c>
      <c r="F35" s="71">
        <f>SUM(F14+F17-F30)</f>
        <v>0</v>
      </c>
    </row>
    <row r="36" spans="1:6" ht="13.5" thickTop="1"/>
    <row r="44" spans="1:6">
      <c r="E44" s="19"/>
      <c r="F44" s="19"/>
    </row>
    <row r="48" spans="1:6">
      <c r="A48" s="2"/>
      <c r="B48" s="2"/>
      <c r="C48" s="2"/>
      <c r="D48" s="2"/>
      <c r="E48" s="2"/>
      <c r="F48" s="2"/>
    </row>
    <row r="49" spans="1:4">
      <c r="A49" s="97">
        <v>9</v>
      </c>
      <c r="D49" s="97" t="s">
        <v>13</v>
      </c>
    </row>
  </sheetData>
  <mergeCells count="4">
    <mergeCell ref="A6:G6"/>
    <mergeCell ref="A8:G8"/>
    <mergeCell ref="A10:G10"/>
    <mergeCell ref="A11:F11"/>
  </mergeCells>
  <phoneticPr fontId="23" type="noConversion"/>
  <printOptions horizontalCentered="1"/>
  <pageMargins left="0.75" right="0.5" top="0.85" bottom="0.5" header="0.5" footer="0.5"/>
  <pageSetup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/>
  <dimension ref="A1:W578"/>
  <sheetViews>
    <sheetView workbookViewId="0">
      <selection activeCell="D20" sqref="D20"/>
    </sheetView>
  </sheetViews>
  <sheetFormatPr defaultRowHeight="12.75"/>
  <cols>
    <col min="1" max="1" width="2.5703125" customWidth="1"/>
    <col min="2" max="4" width="19.42578125" customWidth="1"/>
    <col min="5" max="5" width="21.5703125" customWidth="1"/>
    <col min="6" max="6" width="24.42578125" customWidth="1"/>
    <col min="7" max="7" width="14.42578125" customWidth="1"/>
    <col min="8" max="8" width="25.5703125" customWidth="1"/>
    <col min="9" max="9" width="19.42578125" customWidth="1"/>
  </cols>
  <sheetData>
    <row r="1" spans="1:23" ht="13.5" thickBot="1">
      <c r="A1" s="647"/>
      <c r="B1" s="647"/>
      <c r="C1" s="647"/>
      <c r="D1" s="647"/>
      <c r="E1" s="647"/>
      <c r="F1" s="647"/>
      <c r="G1" s="647"/>
      <c r="H1" s="647"/>
      <c r="I1" s="647"/>
      <c r="J1" s="647"/>
      <c r="K1" s="647"/>
      <c r="L1" s="647"/>
      <c r="M1" s="647"/>
      <c r="N1" s="647"/>
      <c r="O1" s="647"/>
      <c r="P1" s="647"/>
      <c r="Q1" s="647"/>
      <c r="R1" s="647"/>
      <c r="S1" s="647"/>
      <c r="T1" s="647"/>
      <c r="U1" s="647"/>
    </row>
    <row r="2" spans="1:23" ht="13.5">
      <c r="A2" s="647"/>
      <c r="B2" s="224"/>
      <c r="C2" s="225"/>
      <c r="D2" s="225"/>
      <c r="E2" s="225"/>
      <c r="F2" s="225"/>
      <c r="G2" s="225"/>
      <c r="H2" s="226"/>
      <c r="I2" s="227"/>
      <c r="J2" s="647"/>
      <c r="K2" s="647"/>
      <c r="L2" s="647"/>
      <c r="M2" s="647"/>
      <c r="N2" s="647"/>
      <c r="O2" s="647"/>
      <c r="P2" s="647"/>
      <c r="Q2" s="647"/>
      <c r="R2" s="647"/>
      <c r="S2" s="647"/>
      <c r="T2" s="647"/>
      <c r="U2" s="647"/>
    </row>
    <row r="3" spans="1:23" ht="15.75">
      <c r="A3" s="215"/>
      <c r="B3" s="228"/>
      <c r="C3" s="229"/>
      <c r="D3" s="1162" t="s">
        <v>14</v>
      </c>
      <c r="E3" s="1163"/>
      <c r="F3" s="1163"/>
      <c r="G3" s="242"/>
      <c r="H3" s="242"/>
      <c r="I3" s="243"/>
      <c r="J3" s="647"/>
      <c r="K3" s="647"/>
      <c r="L3" s="647"/>
      <c r="M3" s="647"/>
      <c r="N3" s="647"/>
      <c r="O3" s="647"/>
      <c r="P3" s="647"/>
      <c r="Q3" s="647"/>
      <c r="R3" s="647"/>
      <c r="S3" s="647"/>
      <c r="T3" s="647"/>
      <c r="U3" s="647"/>
    </row>
    <row r="4" spans="1:23" ht="20.25">
      <c r="A4" s="215"/>
      <c r="B4" s="228"/>
      <c r="C4" s="229"/>
      <c r="D4" s="1164" t="s">
        <v>15</v>
      </c>
      <c r="E4" s="1165"/>
      <c r="F4" s="1165"/>
      <c r="G4" s="242"/>
      <c r="H4" s="242"/>
      <c r="I4" s="244"/>
      <c r="J4" s="213"/>
      <c r="K4" s="213"/>
      <c r="L4" s="647"/>
      <c r="M4" s="647"/>
      <c r="N4" s="647"/>
      <c r="O4" s="647"/>
      <c r="P4" s="647"/>
      <c r="Q4" s="647"/>
      <c r="R4" s="647"/>
      <c r="S4" s="647"/>
      <c r="T4" s="647"/>
      <c r="U4" s="647"/>
    </row>
    <row r="5" spans="1:23" ht="18">
      <c r="A5" s="215"/>
      <c r="B5" s="228"/>
      <c r="C5" s="229"/>
      <c r="D5" s="1166" t="s">
        <v>16</v>
      </c>
      <c r="E5" s="1163"/>
      <c r="F5" s="1163"/>
      <c r="G5" s="242"/>
      <c r="H5" s="242"/>
      <c r="I5" s="241"/>
      <c r="J5" s="647"/>
      <c r="K5" s="647"/>
      <c r="L5" s="647"/>
      <c r="M5" s="647"/>
      <c r="N5" s="647"/>
      <c r="O5" s="647"/>
      <c r="P5" s="647"/>
      <c r="Q5" s="647"/>
      <c r="R5" s="647"/>
      <c r="S5" s="647"/>
      <c r="T5" s="647"/>
      <c r="U5" s="647"/>
    </row>
    <row r="6" spans="1:23" ht="18">
      <c r="A6" s="215"/>
      <c r="B6" s="228"/>
      <c r="C6" s="229"/>
      <c r="D6" s="1167">
        <f>'Pet-cash'!$A$11</f>
        <v>40816</v>
      </c>
      <c r="E6" s="1168"/>
      <c r="F6" s="1168"/>
      <c r="G6" s="245"/>
      <c r="H6" s="245"/>
      <c r="I6" s="246"/>
      <c r="J6" s="647"/>
      <c r="K6" s="647"/>
      <c r="L6" s="647"/>
      <c r="M6" s="647"/>
      <c r="N6" s="647"/>
      <c r="O6" s="647"/>
      <c r="P6" s="647"/>
      <c r="Q6" s="647"/>
      <c r="R6" s="647"/>
      <c r="S6" s="647"/>
      <c r="T6" s="647"/>
      <c r="U6" s="647"/>
    </row>
    <row r="7" spans="1:23" ht="18.75">
      <c r="A7" s="215"/>
      <c r="B7" s="228"/>
      <c r="C7" s="229"/>
      <c r="D7" s="229"/>
      <c r="E7" s="230"/>
      <c r="F7" s="229"/>
      <c r="G7" s="229"/>
      <c r="H7" s="247"/>
      <c r="I7" s="231"/>
      <c r="J7" s="647"/>
      <c r="K7" s="647"/>
      <c r="L7" s="647"/>
      <c r="M7" s="647"/>
      <c r="N7" s="647"/>
      <c r="O7" s="647"/>
      <c r="P7" s="647"/>
      <c r="Q7" s="647"/>
      <c r="R7" s="647"/>
      <c r="S7" s="647"/>
      <c r="T7" s="647"/>
      <c r="U7" s="647"/>
    </row>
    <row r="8" spans="1:23" ht="17.25" thickBot="1">
      <c r="A8" s="211"/>
      <c r="B8" s="232"/>
      <c r="C8" s="233"/>
      <c r="D8" s="233"/>
      <c r="E8" s="234"/>
      <c r="F8" s="233"/>
      <c r="G8" s="233"/>
      <c r="H8" s="235"/>
      <c r="I8" s="236"/>
      <c r="J8" s="647"/>
      <c r="K8" s="647"/>
      <c r="L8" s="647"/>
      <c r="M8" s="647"/>
      <c r="N8" s="647"/>
      <c r="O8" s="647"/>
      <c r="P8" s="647"/>
      <c r="Q8" s="647"/>
      <c r="R8" s="647"/>
      <c r="S8" s="647"/>
      <c r="T8" s="647"/>
      <c r="U8" s="647"/>
    </row>
    <row r="9" spans="1:23" ht="15.75">
      <c r="A9" s="211"/>
      <c r="B9" s="211"/>
      <c r="C9" s="647"/>
      <c r="D9" s="647"/>
      <c r="E9" s="212"/>
      <c r="F9" s="212"/>
      <c r="G9" s="212"/>
      <c r="H9" s="222"/>
      <c r="I9" s="647"/>
      <c r="J9" s="214"/>
      <c r="K9" s="647"/>
      <c r="L9" s="647"/>
      <c r="M9" s="647"/>
      <c r="N9" s="647"/>
      <c r="O9" s="647"/>
      <c r="P9" s="647"/>
      <c r="Q9" s="647"/>
      <c r="R9" s="647"/>
      <c r="S9" s="647"/>
      <c r="T9" s="647"/>
      <c r="U9" s="647"/>
    </row>
    <row r="10" spans="1:23" ht="16.5" thickBot="1">
      <c r="A10" s="211"/>
      <c r="B10" s="211"/>
      <c r="C10" s="647"/>
      <c r="D10" s="647"/>
      <c r="E10" s="647"/>
      <c r="F10" s="248" t="s">
        <v>17</v>
      </c>
      <c r="H10" s="258" t="s">
        <v>18</v>
      </c>
      <c r="I10" s="212"/>
      <c r="J10" s="214"/>
      <c r="K10" s="647"/>
      <c r="L10" s="214"/>
      <c r="M10" s="647"/>
      <c r="N10" s="647"/>
      <c r="O10" s="647"/>
      <c r="P10" s="647"/>
      <c r="Q10" s="647"/>
      <c r="R10" s="647"/>
      <c r="S10" s="647"/>
      <c r="T10" s="647"/>
      <c r="U10" s="647"/>
      <c r="V10" s="647"/>
      <c r="W10" s="647"/>
    </row>
    <row r="11" spans="1:23" ht="15.75">
      <c r="A11" s="211"/>
      <c r="B11" s="211"/>
      <c r="C11" s="647"/>
      <c r="D11" s="647"/>
      <c r="E11" s="647"/>
      <c r="F11" s="212"/>
      <c r="H11" s="212"/>
      <c r="I11" s="212"/>
      <c r="J11" s="214"/>
      <c r="K11" s="647"/>
      <c r="L11" s="214"/>
      <c r="M11" s="647"/>
      <c r="N11" s="647"/>
      <c r="O11" s="647"/>
      <c r="P11" s="647"/>
      <c r="Q11" s="647"/>
      <c r="R11" s="647"/>
      <c r="S11" s="647"/>
      <c r="T11" s="647"/>
      <c r="U11" s="647"/>
      <c r="V11" s="647"/>
      <c r="W11" s="647"/>
    </row>
    <row r="12" spans="1:23" ht="16.5" thickBot="1">
      <c r="A12" s="237"/>
      <c r="B12" s="237"/>
      <c r="C12" s="237"/>
      <c r="D12" s="237"/>
      <c r="E12" s="237"/>
      <c r="F12" s="248" t="s">
        <v>19</v>
      </c>
      <c r="H12" s="259">
        <v>937301091</v>
      </c>
      <c r="I12" s="212"/>
      <c r="J12" s="214"/>
      <c r="K12" s="647"/>
      <c r="L12" s="240"/>
      <c r="M12" s="237"/>
      <c r="N12" s="237"/>
      <c r="O12" s="237"/>
      <c r="P12" s="237"/>
      <c r="Q12" s="237"/>
      <c r="R12" s="237"/>
      <c r="S12" s="237"/>
      <c r="T12" s="237"/>
      <c r="U12" s="237"/>
      <c r="V12" s="237"/>
      <c r="W12" s="237"/>
    </row>
    <row r="13" spans="1:23" ht="16.5" thickBot="1">
      <c r="A13" s="216"/>
      <c r="B13" s="220" t="s">
        <v>20</v>
      </c>
      <c r="C13" s="220"/>
      <c r="D13" s="221"/>
      <c r="E13" s="221"/>
      <c r="F13" s="221"/>
      <c r="G13" s="218"/>
      <c r="H13" s="218"/>
      <c r="I13" s="212"/>
      <c r="J13" s="214"/>
      <c r="K13" s="647"/>
      <c r="L13" s="647"/>
      <c r="M13" s="647"/>
      <c r="N13" s="647"/>
      <c r="O13" s="647"/>
      <c r="P13" s="647"/>
      <c r="Q13" s="647"/>
      <c r="R13" s="647"/>
      <c r="S13" s="647"/>
      <c r="T13" s="647"/>
      <c r="U13" s="647"/>
      <c r="V13" s="647"/>
      <c r="W13" s="647"/>
    </row>
    <row r="14" spans="1:23" ht="15.75">
      <c r="A14" s="216"/>
      <c r="B14" s="216"/>
      <c r="C14" s="216"/>
      <c r="D14" s="216"/>
      <c r="E14" s="216"/>
      <c r="F14" s="216"/>
      <c r="G14" s="217"/>
      <c r="H14" s="217"/>
      <c r="I14" s="212"/>
      <c r="J14" s="214"/>
      <c r="K14" s="647"/>
      <c r="L14" s="647"/>
      <c r="M14" s="647"/>
      <c r="N14" s="647"/>
      <c r="O14" s="647"/>
      <c r="P14" s="647"/>
      <c r="Q14" s="647"/>
      <c r="R14" s="647"/>
      <c r="S14" s="647"/>
      <c r="T14" s="647"/>
      <c r="U14" s="647"/>
      <c r="V14" s="647"/>
      <c r="W14" s="647"/>
    </row>
    <row r="15" spans="1:23" ht="16.5">
      <c r="A15" s="216"/>
      <c r="B15" s="237" t="s">
        <v>21</v>
      </c>
      <c r="C15" s="265">
        <v>40770</v>
      </c>
      <c r="E15" s="260"/>
      <c r="F15" s="260"/>
      <c r="G15" s="238"/>
      <c r="H15" s="256">
        <v>341284.95</v>
      </c>
      <c r="I15" s="212"/>
      <c r="J15" s="214"/>
      <c r="K15" s="647"/>
      <c r="L15" s="647"/>
      <c r="M15" s="647"/>
      <c r="N15" s="647"/>
      <c r="O15" s="647"/>
      <c r="P15" s="647"/>
      <c r="Q15" s="647"/>
      <c r="R15" s="647"/>
      <c r="S15" s="647"/>
      <c r="T15" s="647"/>
      <c r="U15" s="647"/>
      <c r="V15" s="647"/>
      <c r="W15" s="647"/>
    </row>
    <row r="16" spans="1:23" ht="15.75">
      <c r="A16" s="216"/>
      <c r="B16" s="237"/>
      <c r="C16" s="237"/>
      <c r="D16" s="647"/>
      <c r="E16" s="647"/>
      <c r="F16" s="647"/>
      <c r="G16" s="237"/>
      <c r="H16" s="239" t="s">
        <v>22</v>
      </c>
      <c r="I16" s="212"/>
      <c r="J16" s="214"/>
      <c r="K16" s="647"/>
      <c r="L16" s="647"/>
      <c r="M16" s="647"/>
      <c r="N16" s="647"/>
      <c r="O16" s="647"/>
      <c r="P16" s="647"/>
      <c r="Q16" s="647"/>
      <c r="R16" s="647"/>
      <c r="S16" s="647"/>
      <c r="T16" s="647"/>
      <c r="U16" s="647"/>
      <c r="V16" s="647"/>
      <c r="W16" s="647"/>
    </row>
    <row r="17" spans="1:11" ht="15.75">
      <c r="A17" s="216"/>
      <c r="B17" s="237" t="s">
        <v>23</v>
      </c>
      <c r="C17" s="237"/>
      <c r="D17" s="647"/>
      <c r="E17" s="647"/>
      <c r="F17" s="647"/>
      <c r="G17" s="238"/>
      <c r="H17" s="239">
        <v>0</v>
      </c>
      <c r="I17" s="212"/>
      <c r="J17" s="214"/>
      <c r="K17" s="647"/>
    </row>
    <row r="18" spans="1:11" ht="15.75">
      <c r="A18" s="216"/>
      <c r="B18" s="237"/>
      <c r="C18" s="237"/>
      <c r="D18" s="647"/>
      <c r="E18" s="647"/>
      <c r="F18" s="647"/>
      <c r="G18" s="237"/>
      <c r="H18" s="255"/>
      <c r="I18" s="212"/>
      <c r="J18" s="214"/>
      <c r="K18" s="647"/>
    </row>
    <row r="19" spans="1:11" ht="15.75">
      <c r="A19" s="216"/>
      <c r="B19" s="237" t="s">
        <v>24</v>
      </c>
      <c r="C19" s="237"/>
      <c r="D19" s="647"/>
      <c r="E19" s="647"/>
      <c r="F19" s="647"/>
      <c r="G19" s="237"/>
      <c r="H19" s="239">
        <v>25631.26</v>
      </c>
      <c r="I19" s="212"/>
      <c r="J19" s="214"/>
      <c r="K19" s="647"/>
    </row>
    <row r="20" spans="1:11" ht="15.75">
      <c r="A20" s="216"/>
      <c r="B20" s="237"/>
      <c r="C20" s="237"/>
      <c r="D20" s="647"/>
      <c r="E20" s="647"/>
      <c r="F20" s="647"/>
      <c r="G20" s="237"/>
      <c r="H20" s="239"/>
      <c r="I20" s="212"/>
      <c r="J20" s="214"/>
      <c r="K20" s="647"/>
    </row>
    <row r="21" spans="1:11" ht="15.75">
      <c r="A21" s="216"/>
      <c r="B21" s="237" t="s">
        <v>25</v>
      </c>
      <c r="C21" s="237"/>
      <c r="D21" s="647"/>
      <c r="E21" s="647"/>
      <c r="F21" s="647"/>
      <c r="G21" s="237"/>
      <c r="H21" s="239"/>
      <c r="I21" s="212"/>
      <c r="J21" s="214"/>
      <c r="K21" s="647"/>
    </row>
    <row r="22" spans="1:11" ht="15.75">
      <c r="A22" s="216"/>
      <c r="B22" s="237"/>
      <c r="C22" s="237"/>
      <c r="D22" s="647"/>
      <c r="E22" s="647"/>
      <c r="F22" s="647"/>
      <c r="G22" s="237"/>
      <c r="H22" s="239"/>
      <c r="I22" s="212"/>
      <c r="J22" s="214"/>
      <c r="K22" s="647"/>
    </row>
    <row r="23" spans="1:11" ht="16.5" thickBot="1">
      <c r="A23" s="216"/>
      <c r="B23" s="237" t="s">
        <v>26</v>
      </c>
      <c r="C23" s="237"/>
      <c r="D23" s="647"/>
      <c r="E23" s="647"/>
      <c r="F23" s="647"/>
      <c r="G23" s="237"/>
      <c r="H23" s="257">
        <f>+H15+H17-H19</f>
        <v>315653.69</v>
      </c>
      <c r="I23" s="212"/>
      <c r="J23" s="214"/>
      <c r="K23" s="647"/>
    </row>
    <row r="24" spans="1:11" ht="15.75">
      <c r="A24" s="216"/>
      <c r="B24" s="216"/>
      <c r="C24" s="216"/>
      <c r="D24" s="216"/>
      <c r="E24" s="216"/>
      <c r="F24" s="216"/>
      <c r="G24" s="216"/>
      <c r="H24" s="216"/>
      <c r="I24" s="212"/>
      <c r="J24" s="214"/>
      <c r="K24" s="647"/>
    </row>
    <row r="25" spans="1:11" ht="16.5" thickBot="1">
      <c r="A25" s="216"/>
      <c r="B25" s="220" t="s">
        <v>27</v>
      </c>
      <c r="C25" s="220"/>
      <c r="D25" s="221"/>
      <c r="E25" s="221"/>
      <c r="F25" s="221"/>
      <c r="G25" s="218"/>
      <c r="H25" s="218"/>
      <c r="I25" s="218"/>
      <c r="J25" s="214"/>
      <c r="K25" s="647"/>
    </row>
    <row r="26" spans="1:11" ht="15.75">
      <c r="A26" s="216"/>
      <c r="B26" s="216"/>
      <c r="C26" s="216"/>
      <c r="D26" s="216"/>
      <c r="E26" s="216"/>
      <c r="F26" s="216"/>
      <c r="G26" s="216"/>
      <c r="H26" s="216"/>
      <c r="I26" s="216"/>
      <c r="J26" s="214"/>
      <c r="K26" s="647"/>
    </row>
    <row r="27" spans="1:11" ht="15.75">
      <c r="A27" s="216"/>
      <c r="B27" s="237"/>
      <c r="C27" s="237"/>
      <c r="D27" s="647"/>
      <c r="E27" s="647"/>
      <c r="F27" s="647"/>
      <c r="G27" s="647"/>
      <c r="H27" s="239"/>
      <c r="I27" s="237"/>
      <c r="J27" s="214"/>
      <c r="K27" s="647"/>
    </row>
    <row r="28" spans="1:11" ht="16.5" thickBot="1">
      <c r="A28" s="216"/>
      <c r="B28" s="237" t="s">
        <v>28</v>
      </c>
      <c r="C28" s="237"/>
      <c r="D28" s="647"/>
      <c r="E28" s="647"/>
      <c r="F28" s="647"/>
      <c r="G28" s="647"/>
      <c r="H28" s="257">
        <v>315653.69</v>
      </c>
      <c r="I28" s="237"/>
      <c r="J28" s="214"/>
      <c r="K28" s="647"/>
    </row>
    <row r="29" spans="1:11" ht="15.75">
      <c r="A29" s="216"/>
      <c r="B29" s="216"/>
      <c r="C29" s="216"/>
      <c r="D29" s="237"/>
      <c r="E29" s="237"/>
      <c r="F29" s="237"/>
      <c r="G29" s="237"/>
      <c r="H29" s="256"/>
      <c r="I29" s="237"/>
      <c r="J29" s="214"/>
      <c r="K29" s="647"/>
    </row>
    <row r="30" spans="1:11" ht="15.75">
      <c r="A30" s="216"/>
      <c r="B30" s="237" t="s">
        <v>29</v>
      </c>
      <c r="C30" s="216"/>
      <c r="D30" s="237"/>
      <c r="E30" s="237"/>
      <c r="F30" s="237"/>
      <c r="G30" s="237"/>
      <c r="H30" s="256"/>
      <c r="I30" s="237"/>
      <c r="J30" s="214"/>
      <c r="K30" s="647"/>
    </row>
    <row r="31" spans="1:11" ht="15.75">
      <c r="A31" s="216"/>
      <c r="B31" s="216"/>
      <c r="C31" s="216"/>
      <c r="D31" s="237"/>
      <c r="E31" s="237"/>
      <c r="F31" s="237"/>
      <c r="G31" s="237"/>
      <c r="H31" s="256"/>
      <c r="I31" s="237"/>
      <c r="J31" s="214"/>
      <c r="K31" s="647"/>
    </row>
    <row r="32" spans="1:11" ht="16.5">
      <c r="A32" s="216"/>
      <c r="B32" s="216"/>
      <c r="C32" s="262" t="s">
        <v>22</v>
      </c>
      <c r="E32" s="237"/>
      <c r="F32" s="237" t="s">
        <v>30</v>
      </c>
      <c r="G32" s="237"/>
      <c r="H32" s="256">
        <v>0</v>
      </c>
      <c r="I32" s="237"/>
      <c r="J32" s="214"/>
      <c r="K32" s="237"/>
    </row>
    <row r="33" spans="1:11" ht="16.5">
      <c r="A33" s="216"/>
      <c r="B33" s="216"/>
      <c r="C33" s="262" t="s">
        <v>22</v>
      </c>
      <c r="E33" s="237"/>
      <c r="F33" s="237" t="s">
        <v>31</v>
      </c>
      <c r="G33" s="237"/>
      <c r="H33" s="256">
        <v>0</v>
      </c>
      <c r="I33" s="237"/>
      <c r="J33" s="214"/>
      <c r="K33" s="237"/>
    </row>
    <row r="34" spans="1:11" ht="16.5">
      <c r="A34" s="216"/>
      <c r="B34" s="216"/>
      <c r="C34" s="262"/>
      <c r="E34" s="237"/>
      <c r="F34" s="237" t="s">
        <v>32</v>
      </c>
      <c r="G34" s="237"/>
      <c r="H34" s="256">
        <v>0</v>
      </c>
      <c r="I34" s="237"/>
      <c r="J34" s="214"/>
      <c r="K34" s="237"/>
    </row>
    <row r="35" spans="1:11" ht="16.5">
      <c r="A35" s="216"/>
      <c r="B35" s="216"/>
      <c r="C35" s="262"/>
      <c r="D35" s="237"/>
      <c r="E35" s="237"/>
      <c r="F35" s="237"/>
      <c r="G35" s="237"/>
      <c r="H35" s="256"/>
      <c r="I35" s="237"/>
      <c r="J35" s="214"/>
      <c r="K35" s="237"/>
    </row>
    <row r="36" spans="1:11" ht="16.5">
      <c r="A36" s="216"/>
      <c r="B36" s="216"/>
      <c r="C36" s="262"/>
      <c r="D36" s="237"/>
      <c r="E36" s="237"/>
      <c r="F36" s="237"/>
      <c r="G36" s="237"/>
      <c r="H36" s="261"/>
      <c r="I36" s="237"/>
      <c r="J36" s="214"/>
      <c r="K36" s="237"/>
    </row>
    <row r="37" spans="1:11" ht="15.75">
      <c r="A37" s="216"/>
      <c r="B37" s="216"/>
      <c r="C37" s="263"/>
      <c r="D37" s="237"/>
      <c r="E37" s="237"/>
      <c r="F37" s="237"/>
      <c r="G37" s="237"/>
      <c r="H37" s="256"/>
      <c r="I37" s="237"/>
      <c r="J37" s="214"/>
      <c r="K37" s="237"/>
    </row>
    <row r="38" spans="1:11" ht="16.5" thickBot="1">
      <c r="A38" s="216"/>
      <c r="B38" s="216"/>
      <c r="C38" s="263"/>
      <c r="D38" s="237"/>
      <c r="E38" s="237"/>
      <c r="F38" s="237"/>
      <c r="G38" s="237"/>
      <c r="H38" s="264">
        <f>+H28+H32+H33+H34</f>
        <v>315653.69</v>
      </c>
      <c r="I38" s="237"/>
      <c r="J38" s="214"/>
      <c r="K38" s="237"/>
    </row>
    <row r="39" spans="1:11" ht="15.75">
      <c r="A39" s="216"/>
      <c r="B39" s="216"/>
      <c r="C39" s="216"/>
      <c r="D39" s="237"/>
      <c r="E39" s="237"/>
      <c r="F39" s="237"/>
      <c r="G39" s="237"/>
      <c r="H39" s="239"/>
      <c r="I39" s="237"/>
      <c r="J39" s="214"/>
    </row>
    <row r="40" spans="1:11" ht="15.75">
      <c r="A40" s="216"/>
      <c r="B40" s="216"/>
      <c r="C40" s="216"/>
      <c r="D40" s="237"/>
      <c r="E40" s="237"/>
      <c r="F40" s="237"/>
      <c r="G40" s="237"/>
      <c r="H40" s="239"/>
      <c r="I40" s="237"/>
    </row>
    <row r="41" spans="1:11" ht="16.5" thickBot="1">
      <c r="A41" s="216"/>
      <c r="B41" s="248" t="s">
        <v>33</v>
      </c>
      <c r="C41" s="254"/>
      <c r="D41" s="249"/>
      <c r="E41" s="250" t="s">
        <v>34</v>
      </c>
      <c r="F41" s="249"/>
      <c r="G41" s="249"/>
      <c r="H41" s="1160"/>
      <c r="I41" s="1161"/>
    </row>
    <row r="42" spans="1:11" ht="16.5" thickBot="1">
      <c r="A42" s="216"/>
      <c r="B42" s="248" t="s">
        <v>35</v>
      </c>
      <c r="C42" s="254"/>
      <c r="D42" s="249"/>
      <c r="E42" s="250" t="s">
        <v>36</v>
      </c>
      <c r="F42" s="249"/>
      <c r="G42" s="249"/>
      <c r="H42" s="682"/>
      <c r="I42" s="646"/>
    </row>
    <row r="43" spans="1:11" ht="16.5" thickBot="1">
      <c r="A43" s="216"/>
      <c r="B43" s="248"/>
      <c r="C43" s="248"/>
      <c r="D43" s="248"/>
      <c r="E43" s="248" t="s">
        <v>35</v>
      </c>
      <c r="F43" s="251"/>
      <c r="G43" s="251"/>
      <c r="H43" s="252"/>
      <c r="I43" s="253"/>
    </row>
    <row r="44" spans="1:11" ht="15.75">
      <c r="A44" s="216"/>
      <c r="B44" s="211"/>
      <c r="C44" s="647"/>
      <c r="D44" s="647"/>
      <c r="E44" s="647"/>
      <c r="F44" s="647"/>
      <c r="G44" s="647"/>
      <c r="H44" s="239"/>
      <c r="I44" s="237"/>
    </row>
    <row r="45" spans="1:11" ht="15.75">
      <c r="A45" s="216"/>
      <c r="B45" s="216"/>
      <c r="C45" s="216"/>
      <c r="D45" s="216"/>
      <c r="E45" s="216"/>
      <c r="F45" s="216"/>
      <c r="G45" s="216"/>
      <c r="H45" s="223"/>
      <c r="I45" s="216"/>
    </row>
    <row r="46" spans="1:11" ht="15.75">
      <c r="A46" s="216"/>
      <c r="B46" s="216"/>
      <c r="C46" s="216"/>
      <c r="D46" s="216"/>
      <c r="E46" s="216"/>
      <c r="F46" s="216"/>
      <c r="G46" s="216"/>
      <c r="H46" s="223"/>
      <c r="I46" s="216"/>
    </row>
    <row r="47" spans="1:11" ht="15.75">
      <c r="A47" s="216"/>
      <c r="B47" s="216"/>
      <c r="C47" s="216"/>
      <c r="D47" s="216"/>
      <c r="E47" s="216"/>
      <c r="F47" s="216"/>
      <c r="G47" s="216"/>
      <c r="H47" s="223"/>
      <c r="I47" s="216"/>
    </row>
    <row r="48" spans="1:11" ht="15.75">
      <c r="A48" s="216"/>
      <c r="B48" s="216"/>
      <c r="C48" s="216"/>
      <c r="D48" s="216"/>
      <c r="E48" s="216"/>
      <c r="F48" s="216"/>
      <c r="G48" s="216"/>
      <c r="H48" s="223"/>
      <c r="I48" s="216"/>
    </row>
    <row r="49" spans="1:9" ht="15.75">
      <c r="A49" s="216"/>
      <c r="B49" s="216"/>
      <c r="C49" s="216"/>
      <c r="D49" s="216"/>
      <c r="E49" s="216"/>
      <c r="F49" s="216"/>
      <c r="G49" s="216"/>
      <c r="H49" s="223"/>
      <c r="I49" s="216"/>
    </row>
    <row r="50" spans="1:9" ht="15.75">
      <c r="A50" s="216"/>
      <c r="B50" s="216"/>
      <c r="C50" s="216"/>
      <c r="D50" s="216"/>
      <c r="E50" s="216"/>
      <c r="F50" s="216"/>
      <c r="G50" s="216"/>
      <c r="H50" s="223"/>
      <c r="I50" s="216"/>
    </row>
    <row r="51" spans="1:9" ht="15.75">
      <c r="A51" s="216"/>
      <c r="B51" s="216"/>
      <c r="C51" s="216"/>
      <c r="D51" s="216"/>
      <c r="E51" s="216"/>
      <c r="F51" s="216"/>
      <c r="G51" s="216"/>
      <c r="H51" s="223"/>
      <c r="I51" s="216"/>
    </row>
    <row r="52" spans="1:9" ht="15.75">
      <c r="A52" s="216"/>
      <c r="B52" s="216"/>
      <c r="C52" s="216"/>
      <c r="D52" s="216"/>
      <c r="E52" s="216"/>
      <c r="F52" s="216"/>
      <c r="G52" s="216"/>
      <c r="H52" s="223"/>
      <c r="I52" s="216"/>
    </row>
    <row r="53" spans="1:9" ht="15.75">
      <c r="A53" s="216"/>
      <c r="B53" s="216"/>
      <c r="C53" s="216"/>
      <c r="D53" s="216"/>
      <c r="E53" s="216"/>
      <c r="F53" s="216"/>
      <c r="G53" s="216"/>
      <c r="H53" s="223"/>
      <c r="I53" s="216"/>
    </row>
    <row r="54" spans="1:9" ht="15.75">
      <c r="A54" s="216"/>
      <c r="B54" s="216"/>
      <c r="C54" s="216"/>
      <c r="D54" s="216"/>
      <c r="E54" s="216"/>
      <c r="F54" s="216"/>
      <c r="G54" s="216"/>
      <c r="H54" s="223"/>
      <c r="I54" s="216"/>
    </row>
    <row r="55" spans="1:9" ht="15.75">
      <c r="A55" s="216"/>
      <c r="B55" s="216"/>
      <c r="C55" s="216"/>
      <c r="D55" s="216"/>
      <c r="E55" s="216"/>
      <c r="F55" s="216"/>
      <c r="G55" s="216"/>
      <c r="H55" s="223"/>
      <c r="I55" s="216"/>
    </row>
    <row r="56" spans="1:9" ht="15.75">
      <c r="A56" s="216"/>
      <c r="B56" s="216"/>
      <c r="C56" s="216"/>
      <c r="D56" s="216"/>
      <c r="E56" s="216"/>
      <c r="F56" s="216"/>
      <c r="G56" s="216"/>
      <c r="H56" s="223"/>
      <c r="I56" s="216"/>
    </row>
    <row r="57" spans="1:9" ht="15.75">
      <c r="A57" s="216"/>
      <c r="B57" s="216"/>
      <c r="C57" s="216"/>
      <c r="D57" s="216"/>
      <c r="E57" s="216"/>
      <c r="F57" s="216"/>
      <c r="G57" s="216"/>
      <c r="H57" s="223"/>
      <c r="I57" s="216"/>
    </row>
    <row r="58" spans="1:9" ht="15.75">
      <c r="A58" s="216"/>
      <c r="B58" s="216"/>
      <c r="C58" s="216"/>
      <c r="D58" s="216"/>
      <c r="E58" s="216"/>
      <c r="F58" s="216"/>
      <c r="G58" s="216"/>
      <c r="H58" s="223"/>
      <c r="I58" s="216"/>
    </row>
    <row r="59" spans="1:9" ht="15.75">
      <c r="A59" s="216"/>
      <c r="B59" s="216"/>
      <c r="C59" s="216"/>
      <c r="D59" s="216"/>
      <c r="E59" s="216"/>
      <c r="F59" s="216"/>
      <c r="G59" s="216"/>
      <c r="H59" s="223"/>
      <c r="I59" s="216"/>
    </row>
    <row r="60" spans="1:9" ht="15.75">
      <c r="A60" s="216"/>
      <c r="B60" s="216"/>
      <c r="C60" s="216"/>
      <c r="D60" s="216"/>
      <c r="E60" s="216"/>
      <c r="F60" s="216"/>
      <c r="G60" s="216"/>
      <c r="H60" s="223"/>
      <c r="I60" s="216"/>
    </row>
    <row r="61" spans="1:9" ht="15.75">
      <c r="A61" s="216"/>
      <c r="B61" s="216"/>
      <c r="C61" s="216"/>
      <c r="D61" s="216"/>
      <c r="E61" s="216"/>
      <c r="F61" s="216"/>
      <c r="G61" s="216"/>
      <c r="H61" s="223"/>
      <c r="I61" s="216"/>
    </row>
    <row r="62" spans="1:9" ht="15.75">
      <c r="A62" s="216"/>
      <c r="B62" s="216"/>
      <c r="C62" s="216"/>
      <c r="D62" s="216"/>
      <c r="E62" s="216"/>
      <c r="F62" s="216"/>
      <c r="G62" s="216"/>
      <c r="H62" s="223"/>
      <c r="I62" s="216"/>
    </row>
    <row r="63" spans="1:9" ht="15.75">
      <c r="A63" s="216"/>
      <c r="B63" s="216"/>
      <c r="C63" s="216"/>
      <c r="D63" s="216"/>
      <c r="E63" s="216"/>
      <c r="F63" s="216"/>
      <c r="G63" s="216"/>
      <c r="H63" s="223"/>
      <c r="I63" s="216"/>
    </row>
    <row r="64" spans="1:9" ht="15.75">
      <c r="A64" s="216"/>
      <c r="B64" s="216"/>
      <c r="C64" s="216"/>
      <c r="D64" s="216"/>
      <c r="E64" s="216"/>
      <c r="F64" s="216"/>
      <c r="G64" s="216"/>
      <c r="H64" s="223"/>
      <c r="I64" s="216"/>
    </row>
    <row r="65" spans="1:9" ht="15.75">
      <c r="A65" s="216"/>
      <c r="B65" s="216"/>
      <c r="C65" s="216"/>
      <c r="D65" s="216"/>
      <c r="E65" s="216"/>
      <c r="F65" s="216"/>
      <c r="G65" s="216"/>
      <c r="H65" s="223"/>
      <c r="I65" s="216"/>
    </row>
    <row r="66" spans="1:9" ht="15.75">
      <c r="A66" s="216"/>
      <c r="B66" s="216"/>
      <c r="C66" s="216"/>
      <c r="D66" s="216"/>
      <c r="E66" s="216"/>
      <c r="F66" s="216"/>
      <c r="G66" s="216"/>
      <c r="H66" s="223"/>
      <c r="I66" s="216"/>
    </row>
    <row r="67" spans="1:9" ht="15.75">
      <c r="A67" s="216"/>
      <c r="B67" s="216"/>
      <c r="C67" s="216"/>
      <c r="D67" s="216"/>
      <c r="E67" s="216"/>
      <c r="F67" s="216"/>
      <c r="G67" s="216"/>
      <c r="H67" s="223"/>
      <c r="I67" s="216"/>
    </row>
    <row r="68" spans="1:9" ht="15.75">
      <c r="A68" s="216"/>
      <c r="B68" s="216"/>
      <c r="C68" s="216"/>
      <c r="D68" s="216"/>
      <c r="E68" s="216"/>
      <c r="F68" s="216"/>
      <c r="G68" s="216"/>
      <c r="H68" s="223"/>
      <c r="I68" s="216"/>
    </row>
    <row r="69" spans="1:9" ht="15.75">
      <c r="A69" s="216"/>
      <c r="B69" s="216"/>
      <c r="C69" s="216"/>
      <c r="D69" s="216"/>
      <c r="E69" s="216"/>
      <c r="F69" s="216"/>
      <c r="G69" s="216"/>
      <c r="H69" s="223"/>
      <c r="I69" s="216"/>
    </row>
    <row r="70" spans="1:9" ht="15.75">
      <c r="A70" s="216"/>
      <c r="B70" s="216"/>
      <c r="C70" s="216"/>
      <c r="D70" s="216"/>
      <c r="E70" s="216"/>
      <c r="F70" s="216"/>
      <c r="G70" s="216"/>
      <c r="H70" s="223"/>
      <c r="I70" s="216"/>
    </row>
    <row r="71" spans="1:9" ht="15.75">
      <c r="A71" s="216"/>
      <c r="B71" s="216"/>
      <c r="C71" s="216"/>
      <c r="D71" s="216"/>
      <c r="E71" s="216"/>
      <c r="F71" s="216"/>
      <c r="G71" s="216"/>
      <c r="H71" s="223"/>
      <c r="I71" s="216"/>
    </row>
    <row r="72" spans="1:9" ht="15.75">
      <c r="A72" s="216"/>
      <c r="B72" s="216"/>
      <c r="C72" s="216"/>
      <c r="D72" s="216"/>
      <c r="E72" s="216"/>
      <c r="F72" s="216"/>
      <c r="G72" s="216"/>
      <c r="H72" s="223"/>
      <c r="I72" s="216"/>
    </row>
    <row r="73" spans="1:9" ht="15.75">
      <c r="A73" s="216"/>
      <c r="B73" s="216"/>
      <c r="C73" s="216"/>
      <c r="D73" s="216"/>
      <c r="E73" s="216"/>
      <c r="F73" s="216"/>
      <c r="G73" s="216"/>
      <c r="H73" s="223"/>
      <c r="I73" s="216"/>
    </row>
    <row r="74" spans="1:9" ht="15.75">
      <c r="A74" s="216"/>
      <c r="B74" s="216"/>
      <c r="C74" s="216"/>
      <c r="D74" s="216"/>
      <c r="E74" s="216"/>
      <c r="F74" s="216"/>
      <c r="G74" s="216"/>
      <c r="H74" s="223"/>
      <c r="I74" s="216"/>
    </row>
    <row r="75" spans="1:9" ht="15.75">
      <c r="A75" s="216"/>
      <c r="B75" s="216"/>
      <c r="C75" s="216"/>
      <c r="D75" s="216"/>
      <c r="E75" s="216"/>
      <c r="F75" s="216"/>
      <c r="G75" s="216"/>
      <c r="H75" s="223"/>
      <c r="I75" s="216"/>
    </row>
    <row r="76" spans="1:9" ht="15.75">
      <c r="A76" s="216"/>
      <c r="B76" s="216"/>
      <c r="C76" s="216"/>
      <c r="D76" s="216"/>
      <c r="E76" s="216"/>
      <c r="F76" s="216"/>
      <c r="G76" s="216"/>
      <c r="H76" s="223"/>
      <c r="I76" s="216"/>
    </row>
    <row r="77" spans="1:9" ht="15.75">
      <c r="A77" s="216"/>
      <c r="B77" s="216"/>
      <c r="C77" s="216"/>
      <c r="D77" s="216"/>
      <c r="E77" s="216"/>
      <c r="F77" s="216"/>
      <c r="G77" s="216"/>
      <c r="H77" s="223"/>
      <c r="I77" s="216"/>
    </row>
    <row r="78" spans="1:9" ht="15.75">
      <c r="A78" s="216"/>
      <c r="B78" s="216"/>
      <c r="C78" s="216"/>
      <c r="D78" s="216"/>
      <c r="E78" s="216"/>
      <c r="F78" s="216"/>
      <c r="G78" s="216"/>
      <c r="H78" s="223"/>
      <c r="I78" s="216"/>
    </row>
    <row r="79" spans="1:9" ht="15.75">
      <c r="A79" s="216"/>
      <c r="B79" s="216"/>
      <c r="C79" s="216"/>
      <c r="D79" s="216"/>
      <c r="E79" s="216"/>
      <c r="F79" s="216"/>
      <c r="G79" s="216"/>
      <c r="H79" s="223"/>
      <c r="I79" s="216"/>
    </row>
    <row r="80" spans="1:9" ht="15.75">
      <c r="A80" s="216"/>
      <c r="B80" s="216"/>
      <c r="C80" s="216"/>
      <c r="D80" s="216"/>
      <c r="E80" s="216"/>
      <c r="F80" s="216"/>
      <c r="G80" s="216"/>
      <c r="H80" s="223"/>
      <c r="I80" s="216"/>
    </row>
    <row r="81" spans="1:9" ht="15.75">
      <c r="A81" s="216"/>
      <c r="B81" s="216"/>
      <c r="C81" s="216"/>
      <c r="D81" s="216"/>
      <c r="E81" s="216"/>
      <c r="F81" s="216"/>
      <c r="G81" s="216"/>
      <c r="H81" s="223"/>
      <c r="I81" s="216"/>
    </row>
    <row r="82" spans="1:9" ht="15.75">
      <c r="A82" s="216"/>
      <c r="B82" s="216"/>
      <c r="C82" s="216"/>
      <c r="D82" s="216"/>
      <c r="E82" s="216"/>
      <c r="F82" s="216"/>
      <c r="G82" s="216"/>
      <c r="H82" s="223"/>
      <c r="I82" s="216"/>
    </row>
    <row r="83" spans="1:9" ht="15.75">
      <c r="A83" s="216"/>
      <c r="B83" s="216"/>
      <c r="C83" s="216"/>
      <c r="D83" s="216"/>
      <c r="E83" s="216"/>
      <c r="F83" s="216"/>
      <c r="G83" s="216"/>
      <c r="H83" s="223"/>
      <c r="I83" s="216"/>
    </row>
    <row r="84" spans="1:9" ht="15.75">
      <c r="A84" s="216"/>
      <c r="B84" s="216"/>
      <c r="C84" s="216"/>
      <c r="D84" s="216"/>
      <c r="E84" s="216"/>
      <c r="F84" s="216"/>
      <c r="G84" s="216"/>
      <c r="H84" s="223"/>
      <c r="I84" s="216"/>
    </row>
    <row r="85" spans="1:9" ht="15.75">
      <c r="A85" s="216"/>
      <c r="B85" s="216"/>
      <c r="C85" s="216"/>
      <c r="D85" s="216"/>
      <c r="E85" s="216"/>
      <c r="F85" s="216"/>
      <c r="G85" s="216"/>
      <c r="H85" s="223"/>
      <c r="I85" s="216"/>
    </row>
    <row r="86" spans="1:9" ht="15.75">
      <c r="A86" s="216"/>
      <c r="B86" s="216"/>
      <c r="C86" s="216"/>
      <c r="D86" s="216"/>
      <c r="E86" s="216"/>
      <c r="F86" s="216"/>
      <c r="G86" s="216"/>
      <c r="H86" s="223"/>
      <c r="I86" s="216"/>
    </row>
    <row r="87" spans="1:9" ht="15.75">
      <c r="A87" s="216"/>
      <c r="B87" s="216"/>
      <c r="C87" s="216"/>
      <c r="D87" s="216"/>
      <c r="E87" s="216"/>
      <c r="F87" s="216"/>
      <c r="G87" s="216"/>
      <c r="H87" s="223"/>
      <c r="I87" s="216"/>
    </row>
    <row r="88" spans="1:9" ht="15.75">
      <c r="A88" s="216"/>
      <c r="B88" s="216"/>
      <c r="C88" s="216"/>
      <c r="D88" s="216"/>
      <c r="E88" s="216"/>
      <c r="F88" s="216"/>
      <c r="G88" s="216"/>
      <c r="H88" s="223"/>
      <c r="I88" s="216"/>
    </row>
    <row r="89" spans="1:9" ht="15.75">
      <c r="A89" s="216"/>
      <c r="B89" s="216"/>
      <c r="C89" s="216"/>
      <c r="D89" s="216"/>
      <c r="E89" s="216"/>
      <c r="F89" s="216"/>
      <c r="G89" s="216"/>
      <c r="H89" s="223"/>
      <c r="I89" s="216"/>
    </row>
    <row r="90" spans="1:9" ht="15.75">
      <c r="A90" s="216"/>
      <c r="B90" s="216"/>
      <c r="C90" s="216"/>
      <c r="D90" s="216"/>
      <c r="E90" s="216"/>
      <c r="F90" s="216"/>
      <c r="G90" s="216"/>
      <c r="H90" s="223"/>
      <c r="I90" s="216"/>
    </row>
    <row r="91" spans="1:9" ht="15.75">
      <c r="A91" s="216"/>
      <c r="B91" s="216"/>
      <c r="C91" s="216"/>
      <c r="D91" s="216"/>
      <c r="E91" s="216"/>
      <c r="F91" s="216"/>
      <c r="G91" s="216"/>
      <c r="H91" s="223"/>
      <c r="I91" s="216"/>
    </row>
    <row r="92" spans="1:9" ht="15.75">
      <c r="A92" s="216"/>
      <c r="B92" s="216"/>
      <c r="C92" s="216"/>
      <c r="D92" s="216"/>
      <c r="E92" s="216"/>
      <c r="F92" s="216"/>
      <c r="G92" s="216"/>
      <c r="H92" s="223"/>
      <c r="I92" s="216"/>
    </row>
    <row r="93" spans="1:9" ht="15.75">
      <c r="A93" s="216"/>
      <c r="B93" s="216"/>
      <c r="C93" s="216"/>
      <c r="D93" s="216"/>
      <c r="E93" s="216"/>
      <c r="F93" s="216"/>
      <c r="G93" s="216"/>
      <c r="H93" s="223"/>
      <c r="I93" s="216"/>
    </row>
    <row r="94" spans="1:9" ht="15.75">
      <c r="A94" s="216"/>
      <c r="B94" s="216"/>
      <c r="C94" s="216"/>
      <c r="D94" s="216"/>
      <c r="E94" s="216"/>
      <c r="F94" s="216"/>
      <c r="G94" s="216"/>
      <c r="H94" s="223"/>
      <c r="I94" s="216"/>
    </row>
    <row r="95" spans="1:9" ht="15.75">
      <c r="A95" s="216"/>
      <c r="B95" s="216"/>
      <c r="C95" s="216"/>
      <c r="D95" s="216"/>
      <c r="E95" s="216"/>
      <c r="F95" s="216"/>
      <c r="G95" s="216"/>
      <c r="H95" s="223"/>
      <c r="I95" s="216"/>
    </row>
    <row r="96" spans="1:9" ht="15.75">
      <c r="A96" s="216"/>
      <c r="B96" s="216"/>
      <c r="C96" s="216"/>
      <c r="D96" s="216"/>
      <c r="E96" s="216"/>
      <c r="F96" s="216"/>
      <c r="G96" s="216"/>
      <c r="H96" s="223"/>
      <c r="I96" s="216"/>
    </row>
    <row r="97" spans="1:9" ht="15.75">
      <c r="A97" s="216"/>
      <c r="B97" s="216"/>
      <c r="C97" s="216"/>
      <c r="D97" s="216"/>
      <c r="E97" s="216"/>
      <c r="F97" s="216"/>
      <c r="G97" s="216"/>
      <c r="H97" s="223"/>
      <c r="I97" s="216"/>
    </row>
    <row r="98" spans="1:9" ht="15.75">
      <c r="A98" s="216"/>
      <c r="B98" s="216"/>
      <c r="C98" s="216"/>
      <c r="D98" s="216"/>
      <c r="E98" s="216"/>
      <c r="F98" s="216"/>
      <c r="G98" s="216"/>
      <c r="H98" s="223"/>
      <c r="I98" s="216"/>
    </row>
    <row r="99" spans="1:9" ht="15.75">
      <c r="A99" s="216"/>
      <c r="B99" s="216"/>
      <c r="C99" s="216"/>
      <c r="D99" s="216"/>
      <c r="E99" s="216"/>
      <c r="F99" s="216"/>
      <c r="G99" s="216"/>
      <c r="H99" s="223"/>
      <c r="I99" s="216"/>
    </row>
    <row r="100" spans="1:9" ht="15.75">
      <c r="A100" s="216"/>
      <c r="B100" s="216"/>
      <c r="C100" s="216"/>
      <c r="D100" s="216"/>
      <c r="E100" s="216"/>
      <c r="F100" s="216"/>
      <c r="G100" s="216"/>
      <c r="H100" s="223"/>
      <c r="I100" s="216"/>
    </row>
    <row r="101" spans="1:9" ht="15.75">
      <c r="A101" s="216"/>
      <c r="B101" s="216"/>
      <c r="C101" s="216"/>
      <c r="D101" s="216"/>
      <c r="E101" s="216"/>
      <c r="F101" s="216"/>
      <c r="G101" s="216"/>
      <c r="H101" s="223"/>
      <c r="I101" s="216"/>
    </row>
    <row r="102" spans="1:9" ht="15.75">
      <c r="A102" s="216"/>
      <c r="B102" s="216"/>
      <c r="C102" s="216"/>
      <c r="D102" s="216"/>
      <c r="E102" s="216"/>
      <c r="F102" s="216"/>
      <c r="G102" s="216"/>
      <c r="H102" s="223"/>
      <c r="I102" s="216"/>
    </row>
    <row r="103" spans="1:9" ht="15.75">
      <c r="A103" s="216"/>
      <c r="B103" s="216"/>
      <c r="C103" s="216"/>
      <c r="D103" s="216"/>
      <c r="E103" s="216"/>
      <c r="F103" s="216"/>
      <c r="G103" s="216"/>
      <c r="H103" s="223"/>
      <c r="I103" s="216"/>
    </row>
    <row r="104" spans="1:9" ht="15.75">
      <c r="A104" s="216"/>
      <c r="B104" s="216"/>
      <c r="C104" s="216"/>
      <c r="D104" s="216"/>
      <c r="E104" s="216"/>
      <c r="F104" s="216"/>
      <c r="G104" s="216"/>
      <c r="H104" s="223"/>
      <c r="I104" s="216"/>
    </row>
    <row r="105" spans="1:9" ht="15.75">
      <c r="A105" s="216"/>
      <c r="B105" s="216"/>
      <c r="C105" s="216"/>
      <c r="D105" s="216"/>
      <c r="E105" s="216"/>
      <c r="F105" s="216"/>
      <c r="G105" s="216"/>
      <c r="H105" s="223"/>
      <c r="I105" s="216"/>
    </row>
    <row r="106" spans="1:9" ht="15.75">
      <c r="A106" s="216"/>
      <c r="B106" s="216"/>
      <c r="C106" s="216"/>
      <c r="D106" s="216"/>
      <c r="E106" s="216"/>
      <c r="F106" s="216"/>
      <c r="G106" s="216"/>
      <c r="H106" s="223"/>
      <c r="I106" s="216"/>
    </row>
    <row r="107" spans="1:9" ht="15.75">
      <c r="A107" s="216"/>
      <c r="B107" s="216"/>
      <c r="C107" s="216"/>
      <c r="D107" s="216"/>
      <c r="E107" s="216"/>
      <c r="F107" s="216"/>
      <c r="G107" s="216"/>
      <c r="H107" s="223"/>
      <c r="I107" s="216"/>
    </row>
    <row r="108" spans="1:9" ht="15.75">
      <c r="A108" s="216"/>
      <c r="B108" s="216"/>
      <c r="C108" s="216"/>
      <c r="D108" s="216"/>
      <c r="E108" s="216"/>
      <c r="F108" s="216"/>
      <c r="G108" s="216"/>
      <c r="H108" s="223"/>
      <c r="I108" s="216"/>
    </row>
    <row r="109" spans="1:9" ht="15.75">
      <c r="A109" s="216"/>
      <c r="B109" s="216"/>
      <c r="C109" s="216"/>
      <c r="D109" s="216"/>
      <c r="E109" s="216"/>
      <c r="F109" s="216"/>
      <c r="G109" s="216"/>
      <c r="H109" s="223"/>
      <c r="I109" s="216"/>
    </row>
    <row r="110" spans="1:9" ht="15.75">
      <c r="A110" s="216"/>
      <c r="B110" s="216"/>
      <c r="C110" s="216"/>
      <c r="D110" s="216"/>
      <c r="E110" s="216"/>
      <c r="F110" s="216"/>
      <c r="G110" s="216"/>
      <c r="H110" s="223"/>
      <c r="I110" s="216"/>
    </row>
    <row r="111" spans="1:9" ht="15.75">
      <c r="A111" s="216"/>
      <c r="B111" s="216"/>
      <c r="C111" s="216"/>
      <c r="D111" s="216"/>
      <c r="E111" s="216"/>
      <c r="F111" s="216"/>
      <c r="G111" s="216"/>
      <c r="H111" s="223"/>
      <c r="I111" s="216"/>
    </row>
    <row r="112" spans="1:9" ht="15.75">
      <c r="A112" s="216"/>
      <c r="B112" s="216"/>
      <c r="C112" s="216"/>
      <c r="D112" s="216"/>
      <c r="E112" s="216"/>
      <c r="F112" s="216"/>
      <c r="G112" s="216"/>
      <c r="H112" s="223"/>
      <c r="I112" s="216"/>
    </row>
    <row r="113" spans="1:9" ht="15.75">
      <c r="A113" s="216"/>
      <c r="B113" s="216"/>
      <c r="C113" s="216"/>
      <c r="D113" s="216"/>
      <c r="E113" s="216"/>
      <c r="F113" s="216"/>
      <c r="G113" s="216"/>
      <c r="H113" s="223"/>
      <c r="I113" s="216"/>
    </row>
    <row r="114" spans="1:9" ht="15.75">
      <c r="A114" s="216"/>
      <c r="B114" s="216"/>
      <c r="C114" s="216"/>
      <c r="D114" s="216"/>
      <c r="E114" s="216"/>
      <c r="F114" s="216"/>
      <c r="G114" s="216"/>
      <c r="H114" s="223"/>
      <c r="I114" s="216"/>
    </row>
    <row r="115" spans="1:9" ht="15.75">
      <c r="A115" s="216"/>
      <c r="B115" s="216"/>
      <c r="C115" s="216"/>
      <c r="D115" s="216"/>
      <c r="E115" s="216"/>
      <c r="F115" s="216"/>
      <c r="G115" s="216"/>
      <c r="H115" s="223"/>
      <c r="I115" s="216"/>
    </row>
    <row r="116" spans="1:9" ht="15.75">
      <c r="A116" s="216"/>
      <c r="B116" s="216"/>
      <c r="C116" s="216"/>
      <c r="D116" s="216"/>
      <c r="E116" s="216"/>
      <c r="F116" s="216"/>
      <c r="G116" s="216"/>
      <c r="H116" s="223"/>
      <c r="I116" s="216"/>
    </row>
    <row r="117" spans="1:9" ht="15.75">
      <c r="A117" s="216"/>
      <c r="B117" s="216"/>
      <c r="C117" s="216"/>
      <c r="D117" s="216"/>
      <c r="E117" s="216"/>
      <c r="F117" s="216"/>
      <c r="G117" s="216"/>
      <c r="H117" s="223"/>
      <c r="I117" s="216"/>
    </row>
    <row r="118" spans="1:9" ht="15.75">
      <c r="A118" s="216"/>
      <c r="B118" s="216"/>
      <c r="C118" s="216"/>
      <c r="D118" s="216"/>
      <c r="E118" s="216"/>
      <c r="F118" s="216"/>
      <c r="G118" s="216"/>
      <c r="H118" s="223"/>
      <c r="I118" s="216"/>
    </row>
    <row r="119" spans="1:9" ht="15.75">
      <c r="A119" s="216"/>
      <c r="B119" s="216"/>
      <c r="C119" s="216"/>
      <c r="D119" s="216"/>
      <c r="E119" s="216"/>
      <c r="F119" s="216"/>
      <c r="G119" s="216"/>
      <c r="H119" s="223"/>
      <c r="I119" s="216"/>
    </row>
    <row r="120" spans="1:9" ht="15.75">
      <c r="A120" s="216"/>
      <c r="B120" s="216"/>
      <c r="C120" s="216"/>
      <c r="D120" s="216"/>
      <c r="E120" s="216"/>
      <c r="F120" s="216"/>
      <c r="G120" s="216"/>
      <c r="H120" s="223"/>
      <c r="I120" s="216"/>
    </row>
    <row r="121" spans="1:9" ht="15.75">
      <c r="A121" s="216"/>
      <c r="B121" s="216"/>
      <c r="C121" s="216"/>
      <c r="D121" s="216"/>
      <c r="E121" s="216"/>
      <c r="F121" s="216"/>
      <c r="G121" s="216"/>
      <c r="H121" s="223"/>
      <c r="I121" s="216"/>
    </row>
    <row r="122" spans="1:9" ht="15.75">
      <c r="A122" s="216"/>
      <c r="B122" s="216"/>
      <c r="C122" s="216"/>
      <c r="D122" s="216"/>
      <c r="E122" s="216"/>
      <c r="F122" s="216"/>
      <c r="G122" s="216"/>
      <c r="H122" s="223"/>
      <c r="I122" s="216"/>
    </row>
    <row r="123" spans="1:9" ht="15.75">
      <c r="A123" s="216"/>
      <c r="B123" s="216"/>
      <c r="C123" s="216"/>
      <c r="D123" s="216"/>
      <c r="E123" s="216"/>
      <c r="F123" s="216"/>
      <c r="G123" s="216"/>
      <c r="H123" s="223"/>
      <c r="I123" s="216"/>
    </row>
    <row r="124" spans="1:9" ht="15.75">
      <c r="A124" s="216"/>
      <c r="B124" s="216"/>
      <c r="C124" s="216"/>
      <c r="D124" s="216"/>
      <c r="E124" s="216"/>
      <c r="F124" s="216"/>
      <c r="G124" s="216"/>
      <c r="H124" s="223"/>
      <c r="I124" s="216"/>
    </row>
    <row r="125" spans="1:9" ht="15.75">
      <c r="A125" s="216"/>
      <c r="B125" s="216"/>
      <c r="C125" s="216"/>
      <c r="D125" s="216"/>
      <c r="E125" s="216"/>
      <c r="F125" s="216"/>
      <c r="G125" s="216"/>
      <c r="H125" s="223"/>
      <c r="I125" s="216"/>
    </row>
    <row r="126" spans="1:9" ht="15.75">
      <c r="A126" s="216"/>
      <c r="B126" s="216"/>
      <c r="C126" s="216"/>
      <c r="D126" s="216"/>
      <c r="E126" s="216"/>
      <c r="F126" s="216"/>
      <c r="G126" s="216"/>
      <c r="H126" s="223"/>
      <c r="I126" s="216"/>
    </row>
    <row r="127" spans="1:9" ht="15.75">
      <c r="A127" s="216"/>
      <c r="B127" s="216"/>
      <c r="C127" s="216"/>
      <c r="D127" s="216"/>
      <c r="E127" s="216"/>
      <c r="F127" s="216"/>
      <c r="G127" s="216"/>
      <c r="H127" s="223"/>
      <c r="I127" s="216"/>
    </row>
    <row r="128" spans="1:9" ht="15.75">
      <c r="A128" s="216"/>
      <c r="B128" s="216"/>
      <c r="C128" s="216"/>
      <c r="D128" s="216"/>
      <c r="E128" s="216"/>
      <c r="F128" s="216"/>
      <c r="G128" s="216"/>
      <c r="H128" s="223"/>
      <c r="I128" s="216"/>
    </row>
    <row r="129" spans="1:9" ht="15.75">
      <c r="A129" s="216"/>
      <c r="B129" s="216"/>
      <c r="C129" s="216"/>
      <c r="D129" s="216"/>
      <c r="E129" s="216"/>
      <c r="F129" s="216"/>
      <c r="G129" s="216"/>
      <c r="H129" s="223"/>
      <c r="I129" s="216"/>
    </row>
    <row r="130" spans="1:9" ht="15.75">
      <c r="A130" s="216"/>
      <c r="B130" s="216"/>
      <c r="C130" s="216"/>
      <c r="D130" s="216"/>
      <c r="E130" s="216"/>
      <c r="F130" s="216"/>
      <c r="G130" s="216"/>
      <c r="H130" s="223"/>
      <c r="I130" s="216"/>
    </row>
    <row r="131" spans="1:9" ht="15.75">
      <c r="A131" s="216"/>
      <c r="B131" s="216"/>
      <c r="C131" s="216"/>
      <c r="D131" s="216"/>
      <c r="E131" s="216"/>
      <c r="F131" s="216"/>
      <c r="G131" s="216"/>
      <c r="H131" s="223"/>
      <c r="I131" s="216"/>
    </row>
    <row r="132" spans="1:9" ht="15.75">
      <c r="A132" s="216"/>
      <c r="B132" s="216"/>
      <c r="C132" s="216"/>
      <c r="D132" s="216"/>
      <c r="E132" s="216"/>
      <c r="F132" s="216"/>
      <c r="G132" s="216"/>
      <c r="H132" s="223"/>
      <c r="I132" s="216"/>
    </row>
    <row r="133" spans="1:9" ht="15.75">
      <c r="A133" s="216"/>
      <c r="B133" s="216"/>
      <c r="C133" s="216"/>
      <c r="D133" s="216"/>
      <c r="E133" s="216"/>
      <c r="F133" s="216"/>
      <c r="G133" s="216"/>
      <c r="H133" s="223"/>
      <c r="I133" s="216"/>
    </row>
    <row r="134" spans="1:9" ht="15.75">
      <c r="A134" s="216"/>
      <c r="B134" s="216"/>
      <c r="C134" s="216"/>
      <c r="D134" s="216"/>
      <c r="E134" s="216"/>
      <c r="F134" s="216"/>
      <c r="G134" s="216"/>
      <c r="H134" s="223"/>
      <c r="I134" s="216"/>
    </row>
    <row r="135" spans="1:9" ht="15.75">
      <c r="A135" s="216"/>
      <c r="B135" s="216"/>
      <c r="C135" s="216"/>
      <c r="D135" s="216"/>
      <c r="E135" s="216"/>
      <c r="F135" s="216"/>
      <c r="G135" s="216"/>
      <c r="H135" s="223"/>
      <c r="I135" s="216"/>
    </row>
    <row r="136" spans="1:9" ht="15.75">
      <c r="A136" s="216"/>
      <c r="B136" s="216"/>
      <c r="C136" s="216"/>
      <c r="D136" s="216"/>
      <c r="E136" s="216"/>
      <c r="F136" s="216"/>
      <c r="G136" s="216"/>
      <c r="H136" s="223"/>
      <c r="I136" s="216"/>
    </row>
    <row r="137" spans="1:9" ht="15.75">
      <c r="A137" s="216"/>
      <c r="B137" s="216"/>
      <c r="C137" s="216"/>
      <c r="D137" s="216"/>
      <c r="E137" s="216"/>
      <c r="F137" s="216"/>
      <c r="G137" s="216"/>
      <c r="H137" s="223"/>
      <c r="I137" s="216"/>
    </row>
    <row r="138" spans="1:9" ht="15.75">
      <c r="A138" s="216"/>
      <c r="B138" s="216"/>
      <c r="C138" s="216"/>
      <c r="D138" s="216"/>
      <c r="E138" s="216"/>
      <c r="F138" s="216"/>
      <c r="G138" s="216"/>
      <c r="H138" s="223"/>
      <c r="I138" s="216"/>
    </row>
    <row r="139" spans="1:9" ht="15.75">
      <c r="A139" s="216"/>
      <c r="B139" s="216"/>
      <c r="C139" s="216"/>
      <c r="D139" s="216"/>
      <c r="E139" s="216"/>
      <c r="F139" s="216"/>
      <c r="G139" s="216"/>
      <c r="H139" s="223"/>
      <c r="I139" s="216"/>
    </row>
    <row r="140" spans="1:9" ht="15.75">
      <c r="A140" s="216"/>
      <c r="B140" s="216"/>
      <c r="C140" s="216"/>
      <c r="D140" s="216"/>
      <c r="E140" s="216"/>
      <c r="F140" s="216"/>
      <c r="G140" s="216"/>
      <c r="H140" s="223"/>
      <c r="I140" s="216"/>
    </row>
    <row r="141" spans="1:9" ht="15.75">
      <c r="A141" s="216"/>
      <c r="B141" s="216"/>
      <c r="C141" s="216"/>
      <c r="D141" s="216"/>
      <c r="E141" s="216"/>
      <c r="F141" s="216"/>
      <c r="G141" s="216"/>
      <c r="H141" s="223"/>
      <c r="I141" s="216"/>
    </row>
    <row r="142" spans="1:9" ht="15.75">
      <c r="A142" s="216"/>
      <c r="B142" s="216"/>
      <c r="C142" s="216"/>
      <c r="D142" s="216"/>
      <c r="E142" s="216"/>
      <c r="F142" s="216"/>
      <c r="G142" s="216"/>
      <c r="H142" s="223"/>
      <c r="I142" s="216"/>
    </row>
    <row r="143" spans="1:9" ht="15.75">
      <c r="A143" s="216"/>
      <c r="B143" s="216"/>
      <c r="C143" s="216"/>
      <c r="D143" s="216"/>
      <c r="E143" s="216"/>
      <c r="F143" s="216"/>
      <c r="G143" s="216"/>
      <c r="H143" s="223"/>
      <c r="I143" s="216"/>
    </row>
    <row r="144" spans="1:9" ht="15.75">
      <c r="A144" s="216"/>
      <c r="B144" s="216"/>
      <c r="C144" s="216"/>
      <c r="D144" s="216"/>
      <c r="E144" s="216"/>
      <c r="F144" s="216"/>
      <c r="G144" s="216"/>
      <c r="H144" s="223"/>
      <c r="I144" s="216"/>
    </row>
    <row r="145" spans="1:9" ht="15.75">
      <c r="A145" s="216"/>
      <c r="B145" s="216"/>
      <c r="C145" s="216"/>
      <c r="D145" s="216"/>
      <c r="E145" s="216"/>
      <c r="F145" s="216"/>
      <c r="G145" s="216"/>
      <c r="H145" s="223"/>
      <c r="I145" s="216"/>
    </row>
    <row r="146" spans="1:9" ht="15.75">
      <c r="A146" s="216"/>
      <c r="B146" s="216"/>
      <c r="C146" s="216"/>
      <c r="D146" s="216"/>
      <c r="E146" s="216"/>
      <c r="F146" s="216"/>
      <c r="G146" s="216"/>
      <c r="H146" s="223"/>
      <c r="I146" s="216"/>
    </row>
    <row r="147" spans="1:9" ht="15.75">
      <c r="A147" s="216"/>
      <c r="B147" s="216"/>
      <c r="C147" s="216"/>
      <c r="D147" s="216"/>
      <c r="E147" s="216"/>
      <c r="F147" s="216"/>
      <c r="G147" s="216"/>
      <c r="H147" s="223"/>
      <c r="I147" s="216"/>
    </row>
    <row r="148" spans="1:9" ht="15.75">
      <c r="A148" s="216"/>
      <c r="B148" s="216"/>
      <c r="C148" s="216"/>
      <c r="D148" s="216"/>
      <c r="E148" s="216"/>
      <c r="F148" s="216"/>
      <c r="G148" s="216"/>
      <c r="H148" s="223"/>
      <c r="I148" s="216"/>
    </row>
    <row r="149" spans="1:9" ht="15.75">
      <c r="A149" s="216"/>
      <c r="B149" s="216"/>
      <c r="C149" s="216"/>
      <c r="D149" s="216"/>
      <c r="E149" s="216"/>
      <c r="F149" s="216"/>
      <c r="G149" s="216"/>
      <c r="H149" s="223"/>
      <c r="I149" s="216"/>
    </row>
    <row r="150" spans="1:9" ht="15.75">
      <c r="A150" s="216"/>
      <c r="B150" s="216"/>
      <c r="C150" s="216"/>
      <c r="D150" s="216"/>
      <c r="E150" s="216"/>
      <c r="F150" s="216"/>
      <c r="G150" s="216"/>
      <c r="H150" s="223"/>
      <c r="I150" s="216"/>
    </row>
    <row r="151" spans="1:9" ht="15.75">
      <c r="A151" s="216"/>
      <c r="B151" s="216"/>
      <c r="C151" s="216"/>
      <c r="D151" s="216"/>
      <c r="E151" s="216"/>
      <c r="F151" s="216"/>
      <c r="G151" s="216"/>
      <c r="H151" s="223"/>
      <c r="I151" s="216"/>
    </row>
    <row r="152" spans="1:9" ht="15.75">
      <c r="A152" s="216"/>
      <c r="B152" s="216"/>
      <c r="C152" s="216"/>
      <c r="D152" s="216"/>
      <c r="E152" s="216"/>
      <c r="F152" s="216"/>
      <c r="G152" s="216"/>
      <c r="H152" s="223"/>
      <c r="I152" s="216"/>
    </row>
    <row r="153" spans="1:9" ht="15.75">
      <c r="A153" s="216"/>
      <c r="B153" s="216"/>
      <c r="C153" s="216"/>
      <c r="D153" s="216"/>
      <c r="E153" s="216"/>
      <c r="F153" s="216"/>
      <c r="G153" s="216"/>
      <c r="H153" s="223"/>
      <c r="I153" s="216"/>
    </row>
    <row r="154" spans="1:9" ht="15.75">
      <c r="A154" s="216"/>
      <c r="B154" s="216"/>
      <c r="C154" s="216"/>
      <c r="D154" s="216"/>
      <c r="E154" s="216"/>
      <c r="F154" s="216"/>
      <c r="G154" s="216"/>
      <c r="H154" s="223"/>
      <c r="I154" s="216"/>
    </row>
    <row r="155" spans="1:9" ht="15.75">
      <c r="A155" s="216"/>
      <c r="B155" s="216"/>
      <c r="C155" s="216"/>
      <c r="D155" s="216"/>
      <c r="E155" s="216"/>
      <c r="F155" s="216"/>
      <c r="G155" s="216"/>
      <c r="H155" s="223"/>
      <c r="I155" s="216"/>
    </row>
    <row r="156" spans="1:9" ht="15.75">
      <c r="A156" s="216"/>
      <c r="B156" s="216"/>
      <c r="C156" s="216"/>
      <c r="D156" s="216"/>
      <c r="E156" s="216"/>
      <c r="F156" s="216"/>
      <c r="G156" s="216"/>
      <c r="H156" s="223"/>
      <c r="I156" s="216"/>
    </row>
    <row r="157" spans="1:9" ht="15.75">
      <c r="A157" s="216"/>
      <c r="B157" s="216"/>
      <c r="C157" s="216"/>
      <c r="D157" s="216"/>
      <c r="E157" s="216"/>
      <c r="F157" s="216"/>
      <c r="G157" s="216"/>
      <c r="H157" s="223"/>
      <c r="I157" s="216"/>
    </row>
    <row r="158" spans="1:9" ht="15.75">
      <c r="A158" s="216"/>
      <c r="B158" s="216"/>
      <c r="C158" s="216"/>
      <c r="D158" s="216"/>
      <c r="E158" s="216"/>
      <c r="F158" s="216"/>
      <c r="G158" s="216"/>
      <c r="H158" s="223"/>
      <c r="I158" s="216"/>
    </row>
    <row r="159" spans="1:9" ht="15.75">
      <c r="A159" s="216"/>
      <c r="B159" s="216"/>
      <c r="C159" s="216"/>
      <c r="D159" s="216"/>
      <c r="E159" s="216"/>
      <c r="F159" s="216"/>
      <c r="G159" s="216"/>
      <c r="H159" s="223"/>
      <c r="I159" s="216"/>
    </row>
    <row r="160" spans="1:9" ht="15.75">
      <c r="A160" s="216"/>
      <c r="B160" s="216"/>
      <c r="C160" s="216"/>
      <c r="D160" s="216"/>
      <c r="E160" s="216"/>
      <c r="F160" s="216"/>
      <c r="G160" s="216"/>
      <c r="H160" s="223"/>
      <c r="I160" s="216"/>
    </row>
    <row r="161" spans="1:9" ht="15.75">
      <c r="A161" s="216"/>
      <c r="B161" s="216"/>
      <c r="C161" s="216"/>
      <c r="D161" s="216"/>
      <c r="E161" s="216"/>
      <c r="F161" s="216"/>
      <c r="G161" s="216"/>
      <c r="H161" s="219"/>
      <c r="I161" s="216"/>
    </row>
    <row r="162" spans="1:9" ht="15.75">
      <c r="A162" s="216"/>
      <c r="B162" s="216"/>
      <c r="C162" s="216"/>
      <c r="D162" s="216"/>
      <c r="E162" s="216"/>
      <c r="F162" s="216"/>
      <c r="G162" s="216"/>
      <c r="H162" s="219"/>
      <c r="I162" s="216"/>
    </row>
    <row r="163" spans="1:9" ht="15.75">
      <c r="A163" s="216"/>
      <c r="B163" s="216"/>
      <c r="C163" s="216"/>
      <c r="D163" s="216"/>
      <c r="E163" s="216"/>
      <c r="F163" s="216"/>
      <c r="G163" s="216"/>
      <c r="H163" s="219"/>
      <c r="I163" s="216"/>
    </row>
    <row r="164" spans="1:9" ht="15.75">
      <c r="A164" s="216"/>
      <c r="B164" s="216"/>
      <c r="C164" s="216"/>
      <c r="D164" s="216"/>
      <c r="E164" s="216"/>
      <c r="F164" s="216"/>
      <c r="G164" s="216"/>
      <c r="H164" s="219"/>
      <c r="I164" s="216"/>
    </row>
    <row r="165" spans="1:9" ht="15.75">
      <c r="A165" s="216"/>
      <c r="B165" s="216"/>
      <c r="C165" s="216"/>
      <c r="D165" s="216"/>
      <c r="E165" s="216"/>
      <c r="F165" s="216"/>
      <c r="G165" s="216"/>
      <c r="H165" s="219"/>
      <c r="I165" s="216"/>
    </row>
    <row r="166" spans="1:9" ht="15.75">
      <c r="A166" s="216"/>
      <c r="B166" s="216"/>
      <c r="C166" s="216"/>
      <c r="D166" s="216"/>
      <c r="E166" s="216"/>
      <c r="F166" s="216"/>
      <c r="G166" s="216"/>
      <c r="H166" s="219"/>
      <c r="I166" s="216"/>
    </row>
    <row r="167" spans="1:9" ht="15.75">
      <c r="A167" s="216"/>
      <c r="B167" s="216"/>
      <c r="C167" s="216"/>
      <c r="D167" s="216"/>
      <c r="E167" s="216"/>
      <c r="F167" s="216"/>
      <c r="G167" s="216"/>
      <c r="H167" s="219"/>
      <c r="I167" s="216"/>
    </row>
    <row r="168" spans="1:9" ht="15.75">
      <c r="A168" s="216"/>
      <c r="B168" s="216"/>
      <c r="C168" s="216"/>
      <c r="D168" s="216"/>
      <c r="E168" s="216"/>
      <c r="F168" s="216"/>
      <c r="G168" s="216"/>
      <c r="H168" s="219"/>
      <c r="I168" s="216"/>
    </row>
    <row r="169" spans="1:9" ht="15.75">
      <c r="A169" s="216"/>
      <c r="B169" s="216"/>
      <c r="C169" s="216"/>
      <c r="D169" s="216"/>
      <c r="E169" s="216"/>
      <c r="F169" s="216"/>
      <c r="G169" s="216"/>
      <c r="H169" s="219"/>
      <c r="I169" s="216"/>
    </row>
    <row r="170" spans="1:9" ht="15.75">
      <c r="A170" s="216"/>
      <c r="B170" s="216"/>
      <c r="C170" s="216"/>
      <c r="D170" s="216"/>
      <c r="E170" s="216"/>
      <c r="F170" s="216"/>
      <c r="G170" s="216"/>
      <c r="H170" s="219"/>
      <c r="I170" s="216"/>
    </row>
    <row r="171" spans="1:9" ht="15.75">
      <c r="A171" s="216"/>
      <c r="B171" s="216"/>
      <c r="C171" s="216"/>
      <c r="D171" s="216"/>
      <c r="E171" s="216"/>
      <c r="F171" s="216"/>
      <c r="G171" s="216"/>
      <c r="H171" s="219"/>
      <c r="I171" s="216"/>
    </row>
    <row r="172" spans="1:9" ht="15.75">
      <c r="A172" s="216"/>
      <c r="B172" s="216"/>
      <c r="C172" s="216"/>
      <c r="D172" s="216"/>
      <c r="E172" s="216"/>
      <c r="F172" s="216"/>
      <c r="G172" s="216"/>
      <c r="H172" s="219"/>
      <c r="I172" s="216"/>
    </row>
    <row r="173" spans="1:9" ht="15.75">
      <c r="A173" s="216"/>
      <c r="B173" s="216"/>
      <c r="C173" s="216"/>
      <c r="D173" s="216"/>
      <c r="E173" s="216"/>
      <c r="F173" s="216"/>
      <c r="G173" s="216"/>
      <c r="H173" s="219"/>
      <c r="I173" s="216"/>
    </row>
    <row r="174" spans="1:9" ht="15.75">
      <c r="A174" s="216"/>
      <c r="B174" s="216"/>
      <c r="C174" s="216"/>
      <c r="D174" s="216"/>
      <c r="E174" s="216"/>
      <c r="F174" s="216"/>
      <c r="G174" s="216"/>
      <c r="H174" s="219"/>
      <c r="I174" s="216"/>
    </row>
    <row r="175" spans="1:9" ht="15.75">
      <c r="A175" s="216"/>
      <c r="B175" s="216"/>
      <c r="C175" s="216"/>
      <c r="D175" s="216"/>
      <c r="E175" s="216"/>
      <c r="F175" s="216"/>
      <c r="G175" s="216"/>
      <c r="H175" s="219"/>
      <c r="I175" s="216"/>
    </row>
    <row r="176" spans="1:9" ht="15.75">
      <c r="A176" s="216"/>
      <c r="B176" s="216"/>
      <c r="C176" s="216"/>
      <c r="D176" s="216"/>
      <c r="E176" s="216"/>
      <c r="F176" s="216"/>
      <c r="G176" s="216"/>
      <c r="H176" s="219"/>
      <c r="I176" s="216"/>
    </row>
    <row r="177" spans="1:9" ht="15.75">
      <c r="A177" s="216"/>
      <c r="B177" s="216"/>
      <c r="C177" s="216"/>
      <c r="D177" s="216"/>
      <c r="E177" s="216"/>
      <c r="F177" s="216"/>
      <c r="G177" s="216"/>
      <c r="H177" s="219"/>
      <c r="I177" s="216"/>
    </row>
    <row r="178" spans="1:9" ht="15.75">
      <c r="A178" s="216"/>
      <c r="B178" s="216"/>
      <c r="C178" s="216"/>
      <c r="D178" s="216"/>
      <c r="E178" s="216"/>
      <c r="F178" s="216"/>
      <c r="G178" s="216"/>
      <c r="H178" s="219"/>
      <c r="I178" s="216"/>
    </row>
    <row r="179" spans="1:9" ht="15.75">
      <c r="A179" s="216"/>
      <c r="B179" s="216"/>
      <c r="C179" s="216"/>
      <c r="D179" s="216"/>
      <c r="E179" s="216"/>
      <c r="F179" s="216"/>
      <c r="G179" s="216"/>
      <c r="H179" s="219"/>
      <c r="I179" s="216"/>
    </row>
    <row r="180" spans="1:9" ht="15.75">
      <c r="A180" s="216"/>
      <c r="B180" s="216"/>
      <c r="C180" s="216"/>
      <c r="D180" s="216"/>
      <c r="E180" s="216"/>
      <c r="F180" s="216"/>
      <c r="G180" s="216"/>
      <c r="H180" s="219"/>
      <c r="I180" s="216"/>
    </row>
    <row r="181" spans="1:9" ht="15.75">
      <c r="A181" s="216"/>
      <c r="B181" s="216"/>
      <c r="C181" s="216"/>
      <c r="D181" s="216"/>
      <c r="E181" s="216"/>
      <c r="F181" s="216"/>
      <c r="G181" s="216"/>
      <c r="H181" s="219"/>
      <c r="I181" s="216"/>
    </row>
    <row r="182" spans="1:9" ht="15.75">
      <c r="A182" s="216"/>
      <c r="B182" s="216"/>
      <c r="C182" s="216"/>
      <c r="D182" s="216"/>
      <c r="E182" s="216"/>
      <c r="F182" s="216"/>
      <c r="G182" s="216"/>
      <c r="H182" s="219"/>
      <c r="I182" s="216"/>
    </row>
    <row r="183" spans="1:9" ht="15.75">
      <c r="A183" s="216"/>
      <c r="B183" s="216"/>
      <c r="C183" s="216"/>
      <c r="D183" s="216"/>
      <c r="E183" s="216"/>
      <c r="F183" s="216"/>
      <c r="G183" s="216"/>
      <c r="H183" s="219"/>
      <c r="I183" s="216"/>
    </row>
    <row r="184" spans="1:9" ht="15.75">
      <c r="A184" s="216"/>
      <c r="B184" s="216"/>
      <c r="C184" s="216"/>
      <c r="D184" s="216"/>
      <c r="E184" s="216"/>
      <c r="F184" s="216"/>
      <c r="G184" s="216"/>
      <c r="H184" s="219"/>
      <c r="I184" s="216"/>
    </row>
    <row r="185" spans="1:9" ht="15.75">
      <c r="A185" s="216"/>
      <c r="B185" s="216"/>
      <c r="C185" s="216"/>
      <c r="D185" s="216"/>
      <c r="E185" s="216"/>
      <c r="F185" s="216"/>
      <c r="G185" s="216"/>
      <c r="H185" s="219"/>
      <c r="I185" s="216"/>
    </row>
    <row r="186" spans="1:9" ht="15.75">
      <c r="A186" s="216"/>
      <c r="B186" s="216"/>
      <c r="C186" s="216"/>
      <c r="D186" s="216"/>
      <c r="E186" s="216"/>
      <c r="F186" s="216"/>
      <c r="G186" s="216"/>
      <c r="H186" s="219"/>
      <c r="I186" s="216"/>
    </row>
    <row r="187" spans="1:9" ht="15.75">
      <c r="A187" s="216"/>
      <c r="B187" s="216"/>
      <c r="C187" s="216"/>
      <c r="D187" s="216"/>
      <c r="E187" s="216"/>
      <c r="F187" s="216"/>
      <c r="G187" s="216"/>
      <c r="H187" s="219"/>
      <c r="I187" s="216"/>
    </row>
    <row r="188" spans="1:9" ht="15.75">
      <c r="A188" s="216"/>
      <c r="B188" s="216"/>
      <c r="C188" s="216"/>
      <c r="D188" s="216"/>
      <c r="E188" s="216"/>
      <c r="F188" s="216"/>
      <c r="G188" s="216"/>
      <c r="H188" s="219"/>
      <c r="I188" s="216"/>
    </row>
    <row r="189" spans="1:9" ht="15.75">
      <c r="A189" s="216"/>
      <c r="B189" s="216"/>
      <c r="C189" s="216"/>
      <c r="D189" s="216"/>
      <c r="E189" s="216"/>
      <c r="F189" s="216"/>
      <c r="G189" s="216"/>
      <c r="H189" s="219"/>
      <c r="I189" s="216"/>
    </row>
    <row r="190" spans="1:9" ht="15.75">
      <c r="A190" s="216"/>
      <c r="B190" s="216"/>
      <c r="C190" s="216"/>
      <c r="D190" s="216"/>
      <c r="E190" s="216"/>
      <c r="F190" s="216"/>
      <c r="G190" s="216"/>
      <c r="H190" s="219"/>
      <c r="I190" s="216"/>
    </row>
    <row r="191" spans="1:9" ht="15.75">
      <c r="A191" s="216"/>
      <c r="B191" s="216"/>
      <c r="C191" s="216"/>
      <c r="D191" s="216"/>
      <c r="E191" s="216"/>
      <c r="F191" s="216"/>
      <c r="G191" s="216"/>
      <c r="H191" s="219"/>
      <c r="I191" s="216"/>
    </row>
    <row r="192" spans="1:9" ht="15.75">
      <c r="A192" s="216"/>
      <c r="B192" s="216"/>
      <c r="C192" s="216"/>
      <c r="D192" s="216"/>
      <c r="E192" s="216"/>
      <c r="F192" s="216"/>
      <c r="G192" s="216"/>
      <c r="H192" s="219"/>
      <c r="I192" s="216"/>
    </row>
    <row r="193" spans="1:9" ht="15.75">
      <c r="A193" s="216"/>
      <c r="B193" s="216"/>
      <c r="C193" s="216"/>
      <c r="D193" s="216"/>
      <c r="E193" s="216"/>
      <c r="F193" s="216"/>
      <c r="G193" s="216"/>
      <c r="H193" s="219"/>
      <c r="I193" s="216"/>
    </row>
    <row r="194" spans="1:9" ht="15.75">
      <c r="A194" s="216"/>
      <c r="B194" s="216"/>
      <c r="C194" s="216"/>
      <c r="D194" s="216"/>
      <c r="E194" s="216"/>
      <c r="F194" s="216"/>
      <c r="G194" s="216"/>
      <c r="H194" s="219"/>
      <c r="I194" s="216"/>
    </row>
    <row r="195" spans="1:9" ht="15.75">
      <c r="A195" s="216"/>
      <c r="B195" s="216"/>
      <c r="C195" s="216"/>
      <c r="D195" s="216"/>
      <c r="E195" s="216"/>
      <c r="F195" s="216"/>
      <c r="G195" s="216"/>
      <c r="H195" s="219"/>
      <c r="I195" s="216"/>
    </row>
    <row r="196" spans="1:9" ht="15.75">
      <c r="A196" s="216"/>
      <c r="B196" s="216"/>
      <c r="C196" s="216"/>
      <c r="D196" s="216"/>
      <c r="E196" s="216"/>
      <c r="F196" s="216"/>
      <c r="G196" s="216"/>
      <c r="H196" s="219"/>
      <c r="I196" s="216"/>
    </row>
    <row r="197" spans="1:9" ht="15.75">
      <c r="A197" s="216"/>
      <c r="B197" s="216"/>
      <c r="C197" s="216"/>
      <c r="D197" s="216"/>
      <c r="E197" s="216"/>
      <c r="F197" s="216"/>
      <c r="G197" s="216"/>
      <c r="H197" s="219"/>
      <c r="I197" s="216"/>
    </row>
    <row r="198" spans="1:9" ht="15.75">
      <c r="A198" s="216"/>
      <c r="B198" s="216"/>
      <c r="C198" s="216"/>
      <c r="D198" s="216"/>
      <c r="E198" s="216"/>
      <c r="F198" s="216"/>
      <c r="G198" s="216"/>
      <c r="H198" s="219"/>
      <c r="I198" s="216"/>
    </row>
    <row r="199" spans="1:9" ht="15.75">
      <c r="A199" s="216"/>
      <c r="B199" s="216"/>
      <c r="C199" s="216"/>
      <c r="D199" s="216"/>
      <c r="E199" s="216"/>
      <c r="F199" s="216"/>
      <c r="G199" s="216"/>
      <c r="H199" s="219"/>
      <c r="I199" s="216"/>
    </row>
    <row r="200" spans="1:9" ht="15.75">
      <c r="A200" s="216"/>
      <c r="B200" s="216"/>
      <c r="C200" s="216"/>
      <c r="D200" s="216"/>
      <c r="E200" s="216"/>
      <c r="F200" s="216"/>
      <c r="G200" s="216"/>
      <c r="H200" s="219"/>
      <c r="I200" s="216"/>
    </row>
    <row r="201" spans="1:9" ht="15.75">
      <c r="A201" s="216"/>
      <c r="B201" s="216"/>
      <c r="C201" s="216"/>
      <c r="D201" s="216"/>
      <c r="E201" s="216"/>
      <c r="F201" s="216"/>
      <c r="G201" s="216"/>
      <c r="H201" s="219"/>
      <c r="I201" s="216"/>
    </row>
    <row r="202" spans="1:9" ht="15.75">
      <c r="A202" s="216"/>
      <c r="B202" s="216"/>
      <c r="C202" s="216"/>
      <c r="D202" s="216"/>
      <c r="E202" s="216"/>
      <c r="F202" s="216"/>
      <c r="G202" s="216"/>
      <c r="H202" s="219"/>
      <c r="I202" s="216"/>
    </row>
    <row r="203" spans="1:9" ht="15.75">
      <c r="A203" s="216"/>
      <c r="B203" s="216"/>
      <c r="C203" s="216"/>
      <c r="D203" s="216"/>
      <c r="E203" s="216"/>
      <c r="F203" s="216"/>
      <c r="G203" s="216"/>
      <c r="H203" s="219"/>
      <c r="I203" s="216"/>
    </row>
    <row r="204" spans="1:9" ht="15.75">
      <c r="A204" s="216"/>
      <c r="B204" s="216"/>
      <c r="C204" s="216"/>
      <c r="D204" s="216"/>
      <c r="E204" s="216"/>
      <c r="F204" s="216"/>
      <c r="G204" s="216"/>
      <c r="H204" s="219"/>
      <c r="I204" s="216"/>
    </row>
    <row r="205" spans="1:9" ht="15.75">
      <c r="A205" s="216"/>
      <c r="B205" s="216"/>
      <c r="C205" s="216"/>
      <c r="D205" s="216"/>
      <c r="E205" s="216"/>
      <c r="F205" s="216"/>
      <c r="G205" s="216"/>
      <c r="H205" s="219"/>
      <c r="I205" s="216"/>
    </row>
    <row r="206" spans="1:9" ht="15.75">
      <c r="A206" s="216"/>
      <c r="B206" s="216"/>
      <c r="C206" s="216"/>
      <c r="D206" s="216"/>
      <c r="E206" s="216"/>
      <c r="F206" s="216"/>
      <c r="G206" s="216"/>
      <c r="H206" s="219"/>
      <c r="I206" s="216"/>
    </row>
    <row r="207" spans="1:9" ht="15.75">
      <c r="A207" s="216"/>
      <c r="B207" s="216"/>
      <c r="C207" s="216"/>
      <c r="D207" s="216"/>
      <c r="E207" s="216"/>
      <c r="F207" s="216"/>
      <c r="G207" s="216"/>
      <c r="H207" s="219"/>
      <c r="I207" s="216"/>
    </row>
    <row r="208" spans="1:9" ht="15.75">
      <c r="A208" s="216"/>
      <c r="B208" s="216"/>
      <c r="C208" s="216"/>
      <c r="D208" s="216"/>
      <c r="E208" s="216"/>
      <c r="F208" s="216"/>
      <c r="G208" s="216"/>
      <c r="H208" s="219"/>
      <c r="I208" s="216"/>
    </row>
    <row r="209" spans="1:9" ht="15.75">
      <c r="A209" s="216"/>
      <c r="B209" s="216"/>
      <c r="C209" s="216"/>
      <c r="D209" s="216"/>
      <c r="E209" s="216"/>
      <c r="F209" s="216"/>
      <c r="G209" s="216"/>
      <c r="H209" s="219"/>
      <c r="I209" s="216"/>
    </row>
    <row r="210" spans="1:9" ht="15.75">
      <c r="A210" s="216"/>
      <c r="B210" s="216"/>
      <c r="C210" s="216"/>
      <c r="D210" s="216"/>
      <c r="E210" s="216"/>
      <c r="F210" s="216"/>
      <c r="G210" s="216"/>
      <c r="H210" s="219"/>
      <c r="I210" s="216"/>
    </row>
    <row r="211" spans="1:9" ht="15.75">
      <c r="A211" s="216"/>
      <c r="B211" s="216"/>
      <c r="C211" s="216"/>
      <c r="D211" s="216"/>
      <c r="E211" s="216"/>
      <c r="F211" s="216"/>
      <c r="G211" s="216"/>
      <c r="H211" s="219"/>
      <c r="I211" s="216"/>
    </row>
    <row r="212" spans="1:9" ht="15.75">
      <c r="A212" s="216"/>
      <c r="B212" s="216"/>
      <c r="C212" s="216"/>
      <c r="D212" s="216"/>
      <c r="E212" s="216"/>
      <c r="F212" s="216"/>
      <c r="G212" s="216"/>
      <c r="H212" s="219"/>
      <c r="I212" s="216"/>
    </row>
    <row r="213" spans="1:9" ht="15.75">
      <c r="A213" s="216"/>
      <c r="B213" s="216"/>
      <c r="C213" s="216"/>
      <c r="D213" s="216"/>
      <c r="E213" s="216"/>
      <c r="F213" s="216"/>
      <c r="G213" s="216"/>
      <c r="H213" s="219"/>
      <c r="I213" s="216"/>
    </row>
    <row r="214" spans="1:9" ht="15.75">
      <c r="A214" s="216"/>
      <c r="B214" s="216"/>
      <c r="C214" s="216"/>
      <c r="D214" s="216"/>
      <c r="E214" s="216"/>
      <c r="F214" s="216"/>
      <c r="G214" s="216"/>
      <c r="H214" s="219"/>
      <c r="I214" s="216"/>
    </row>
    <row r="215" spans="1:9" ht="15.75">
      <c r="A215" s="216"/>
      <c r="B215" s="216"/>
      <c r="C215" s="216"/>
      <c r="D215" s="216"/>
      <c r="E215" s="216"/>
      <c r="F215" s="216"/>
      <c r="G215" s="216"/>
      <c r="H215" s="219"/>
      <c r="I215" s="216"/>
    </row>
    <row r="216" spans="1:9" ht="15.75">
      <c r="A216" s="216"/>
      <c r="B216" s="216"/>
      <c r="C216" s="216"/>
      <c r="D216" s="216"/>
      <c r="E216" s="216"/>
      <c r="F216" s="216"/>
      <c r="G216" s="216"/>
      <c r="H216" s="219"/>
      <c r="I216" s="216"/>
    </row>
    <row r="217" spans="1:9" ht="15.75">
      <c r="A217" s="216"/>
      <c r="B217" s="216"/>
      <c r="C217" s="216"/>
      <c r="D217" s="216"/>
      <c r="E217" s="216"/>
      <c r="F217" s="216"/>
      <c r="G217" s="216"/>
      <c r="H217" s="219"/>
      <c r="I217" s="216"/>
    </row>
    <row r="218" spans="1:9" ht="15.75">
      <c r="A218" s="216"/>
      <c r="B218" s="216"/>
      <c r="C218" s="216"/>
      <c r="D218" s="216"/>
      <c r="E218" s="216"/>
      <c r="F218" s="216"/>
      <c r="G218" s="216"/>
      <c r="H218" s="219"/>
      <c r="I218" s="216"/>
    </row>
    <row r="219" spans="1:9" ht="15.75">
      <c r="A219" s="216"/>
      <c r="B219" s="216"/>
      <c r="C219" s="216"/>
      <c r="D219" s="216"/>
      <c r="E219" s="216"/>
      <c r="F219" s="216"/>
      <c r="G219" s="216"/>
      <c r="H219" s="219"/>
      <c r="I219" s="216"/>
    </row>
    <row r="220" spans="1:9" ht="15.75">
      <c r="A220" s="216"/>
      <c r="B220" s="216"/>
      <c r="C220" s="216"/>
      <c r="D220" s="216"/>
      <c r="E220" s="216"/>
      <c r="F220" s="216"/>
      <c r="G220" s="216"/>
      <c r="H220" s="219"/>
      <c r="I220" s="216"/>
    </row>
    <row r="221" spans="1:9" ht="15.75">
      <c r="A221" s="216"/>
      <c r="B221" s="216"/>
      <c r="C221" s="216"/>
      <c r="D221" s="216"/>
      <c r="E221" s="216"/>
      <c r="F221" s="216"/>
      <c r="G221" s="216"/>
      <c r="H221" s="219"/>
      <c r="I221" s="216"/>
    </row>
    <row r="222" spans="1:9" ht="15.75">
      <c r="A222" s="216"/>
      <c r="B222" s="216"/>
      <c r="C222" s="216"/>
      <c r="D222" s="216"/>
      <c r="E222" s="216"/>
      <c r="F222" s="216"/>
      <c r="G222" s="216"/>
      <c r="H222" s="219"/>
      <c r="I222" s="216"/>
    </row>
    <row r="223" spans="1:9" ht="15.75">
      <c r="A223" s="216"/>
      <c r="B223" s="216"/>
      <c r="C223" s="216"/>
      <c r="D223" s="216"/>
      <c r="E223" s="216"/>
      <c r="F223" s="216"/>
      <c r="G223" s="216"/>
      <c r="H223" s="219"/>
      <c r="I223" s="216"/>
    </row>
    <row r="224" spans="1:9" ht="15.75">
      <c r="A224" s="216"/>
      <c r="B224" s="216"/>
      <c r="C224" s="216"/>
      <c r="D224" s="216"/>
      <c r="E224" s="216"/>
      <c r="F224" s="216"/>
      <c r="G224" s="216"/>
      <c r="H224" s="219"/>
      <c r="I224" s="216"/>
    </row>
    <row r="225" spans="1:9" ht="15.75">
      <c r="A225" s="216"/>
      <c r="B225" s="216"/>
      <c r="C225" s="216"/>
      <c r="D225" s="216"/>
      <c r="E225" s="216"/>
      <c r="F225" s="216"/>
      <c r="G225" s="216"/>
      <c r="H225" s="219"/>
      <c r="I225" s="216"/>
    </row>
    <row r="226" spans="1:9" ht="15.75">
      <c r="A226" s="216"/>
      <c r="B226" s="216"/>
      <c r="C226" s="216"/>
      <c r="D226" s="216"/>
      <c r="E226" s="216"/>
      <c r="F226" s="216"/>
      <c r="G226" s="216"/>
      <c r="H226" s="219"/>
      <c r="I226" s="216"/>
    </row>
    <row r="227" spans="1:9" ht="15.75">
      <c r="A227" s="216"/>
      <c r="B227" s="216"/>
      <c r="C227" s="216"/>
      <c r="D227" s="216"/>
      <c r="E227" s="216"/>
      <c r="F227" s="216"/>
      <c r="G227" s="216"/>
      <c r="H227" s="219"/>
      <c r="I227" s="216"/>
    </row>
    <row r="228" spans="1:9" ht="15.75">
      <c r="A228" s="216"/>
      <c r="B228" s="216"/>
      <c r="C228" s="216"/>
      <c r="D228" s="216"/>
      <c r="E228" s="216"/>
      <c r="F228" s="216"/>
      <c r="G228" s="216"/>
      <c r="H228" s="219"/>
      <c r="I228" s="216"/>
    </row>
    <row r="229" spans="1:9" ht="15.75">
      <c r="A229" s="216"/>
      <c r="B229" s="216"/>
      <c r="C229" s="216"/>
      <c r="D229" s="216"/>
      <c r="E229" s="216"/>
      <c r="F229" s="216"/>
      <c r="G229" s="216"/>
      <c r="H229" s="219"/>
      <c r="I229" s="216"/>
    </row>
    <row r="230" spans="1:9" ht="15.75">
      <c r="A230" s="216"/>
      <c r="B230" s="216"/>
      <c r="C230" s="216"/>
      <c r="D230" s="216"/>
      <c r="E230" s="216"/>
      <c r="F230" s="216"/>
      <c r="G230" s="216"/>
      <c r="H230" s="219"/>
      <c r="I230" s="216"/>
    </row>
    <row r="231" spans="1:9" ht="15.75">
      <c r="A231" s="216"/>
      <c r="B231" s="216"/>
      <c r="C231" s="216"/>
      <c r="D231" s="216"/>
      <c r="E231" s="216"/>
      <c r="F231" s="216"/>
      <c r="G231" s="216"/>
      <c r="H231" s="219"/>
      <c r="I231" s="216"/>
    </row>
    <row r="232" spans="1:9" ht="15.75">
      <c r="A232" s="216"/>
      <c r="B232" s="216"/>
      <c r="C232" s="216"/>
      <c r="D232" s="216"/>
      <c r="E232" s="216"/>
      <c r="F232" s="216"/>
      <c r="G232" s="216"/>
      <c r="H232" s="219"/>
      <c r="I232" s="216"/>
    </row>
    <row r="233" spans="1:9" ht="15.75">
      <c r="A233" s="216"/>
      <c r="B233" s="216"/>
      <c r="C233" s="216"/>
      <c r="D233" s="216"/>
      <c r="E233" s="216"/>
      <c r="F233" s="216"/>
      <c r="G233" s="216"/>
      <c r="H233" s="219"/>
      <c r="I233" s="216"/>
    </row>
    <row r="234" spans="1:9" ht="15.75">
      <c r="A234" s="216"/>
      <c r="B234" s="216"/>
      <c r="C234" s="216"/>
      <c r="D234" s="216"/>
      <c r="E234" s="216"/>
      <c r="F234" s="216"/>
      <c r="G234" s="216"/>
      <c r="H234" s="219"/>
      <c r="I234" s="216"/>
    </row>
    <row r="235" spans="1:9" ht="15.75">
      <c r="A235" s="216"/>
      <c r="B235" s="216"/>
      <c r="C235" s="216"/>
      <c r="D235" s="216"/>
      <c r="E235" s="216"/>
      <c r="F235" s="216"/>
      <c r="G235" s="216"/>
      <c r="H235" s="219"/>
      <c r="I235" s="216"/>
    </row>
    <row r="236" spans="1:9" ht="15.75">
      <c r="A236" s="216"/>
      <c r="B236" s="216"/>
      <c r="C236" s="216"/>
      <c r="D236" s="216"/>
      <c r="E236" s="216"/>
      <c r="F236" s="216"/>
      <c r="G236" s="216"/>
      <c r="H236" s="219"/>
      <c r="I236" s="216"/>
    </row>
    <row r="237" spans="1:9" ht="15.75">
      <c r="A237" s="216"/>
      <c r="B237" s="216"/>
      <c r="C237" s="216"/>
      <c r="D237" s="216"/>
      <c r="E237" s="216"/>
      <c r="F237" s="216"/>
      <c r="G237" s="216"/>
      <c r="H237" s="219"/>
      <c r="I237" s="216"/>
    </row>
    <row r="238" spans="1:9" ht="15.75">
      <c r="A238" s="216"/>
      <c r="B238" s="216"/>
      <c r="C238" s="216"/>
      <c r="D238" s="216"/>
      <c r="E238" s="216"/>
      <c r="F238" s="216"/>
      <c r="G238" s="216"/>
      <c r="H238" s="219"/>
      <c r="I238" s="216"/>
    </row>
    <row r="239" spans="1:9" ht="15.75">
      <c r="A239" s="216"/>
      <c r="B239" s="216"/>
      <c r="C239" s="216"/>
      <c r="D239" s="216"/>
      <c r="E239" s="216"/>
      <c r="F239" s="216"/>
      <c r="G239" s="216"/>
      <c r="H239" s="219"/>
      <c r="I239" s="216"/>
    </row>
    <row r="240" spans="1:9" ht="15.75">
      <c r="A240" s="216"/>
      <c r="B240" s="216"/>
      <c r="C240" s="216"/>
      <c r="D240" s="216"/>
      <c r="E240" s="216"/>
      <c r="F240" s="216"/>
      <c r="G240" s="216"/>
      <c r="H240" s="219"/>
      <c r="I240" s="216"/>
    </row>
    <row r="241" spans="1:9" ht="15.75">
      <c r="A241" s="216"/>
      <c r="B241" s="216"/>
      <c r="C241" s="216"/>
      <c r="D241" s="216"/>
      <c r="E241" s="216"/>
      <c r="F241" s="216"/>
      <c r="G241" s="216"/>
      <c r="H241" s="219"/>
      <c r="I241" s="216"/>
    </row>
    <row r="242" spans="1:9" ht="15.75">
      <c r="A242" s="216"/>
      <c r="B242" s="216"/>
      <c r="C242" s="216"/>
      <c r="D242" s="216"/>
      <c r="E242" s="216"/>
      <c r="F242" s="216"/>
      <c r="G242" s="216"/>
      <c r="H242" s="219"/>
      <c r="I242" s="216"/>
    </row>
    <row r="243" spans="1:9" ht="15.75">
      <c r="A243" s="216"/>
      <c r="B243" s="216"/>
      <c r="C243" s="216"/>
      <c r="D243" s="216"/>
      <c r="E243" s="216"/>
      <c r="F243" s="216"/>
      <c r="G243" s="216"/>
      <c r="H243" s="219"/>
      <c r="I243" s="216"/>
    </row>
    <row r="244" spans="1:9" ht="15.75">
      <c r="A244" s="216"/>
      <c r="B244" s="216"/>
      <c r="C244" s="216"/>
      <c r="D244" s="216"/>
      <c r="E244" s="216"/>
      <c r="F244" s="216"/>
      <c r="G244" s="216"/>
      <c r="H244" s="219"/>
      <c r="I244" s="216"/>
    </row>
    <row r="245" spans="1:9" ht="15.75">
      <c r="A245" s="216"/>
      <c r="B245" s="216"/>
      <c r="C245" s="216"/>
      <c r="D245" s="216"/>
      <c r="E245" s="216"/>
      <c r="F245" s="216"/>
      <c r="G245" s="216"/>
      <c r="H245" s="219"/>
      <c r="I245" s="216"/>
    </row>
    <row r="246" spans="1:9" ht="15.75">
      <c r="A246" s="216"/>
      <c r="B246" s="216"/>
      <c r="C246" s="216"/>
      <c r="D246" s="216"/>
      <c r="E246" s="216"/>
      <c r="F246" s="216"/>
      <c r="G246" s="216"/>
      <c r="H246" s="219"/>
      <c r="I246" s="216"/>
    </row>
    <row r="247" spans="1:9" ht="15.75">
      <c r="A247" s="216"/>
      <c r="B247" s="216"/>
      <c r="C247" s="216"/>
      <c r="D247" s="216"/>
      <c r="E247" s="216"/>
      <c r="F247" s="216"/>
      <c r="G247" s="216"/>
      <c r="H247" s="219"/>
      <c r="I247" s="216"/>
    </row>
    <row r="248" spans="1:9" ht="15.75">
      <c r="A248" s="216"/>
      <c r="B248" s="216"/>
      <c r="C248" s="216"/>
      <c r="D248" s="216"/>
      <c r="E248" s="216"/>
      <c r="F248" s="216"/>
      <c r="G248" s="216"/>
      <c r="H248" s="219"/>
      <c r="I248" s="216"/>
    </row>
    <row r="249" spans="1:9" ht="15.75">
      <c r="A249" s="216"/>
      <c r="B249" s="216"/>
      <c r="C249" s="216"/>
      <c r="D249" s="216"/>
      <c r="E249" s="216"/>
      <c r="F249" s="216"/>
      <c r="G249" s="216"/>
      <c r="H249" s="219"/>
      <c r="I249" s="216"/>
    </row>
    <row r="250" spans="1:9" ht="15.75">
      <c r="A250" s="216"/>
      <c r="B250" s="216"/>
      <c r="C250" s="216"/>
      <c r="D250" s="216"/>
      <c r="E250" s="216"/>
      <c r="F250" s="216"/>
      <c r="G250" s="216"/>
      <c r="H250" s="219"/>
      <c r="I250" s="216"/>
    </row>
    <row r="251" spans="1:9" ht="15.75">
      <c r="A251" s="216"/>
      <c r="B251" s="216"/>
      <c r="C251" s="216"/>
      <c r="D251" s="216"/>
      <c r="E251" s="216"/>
      <c r="F251" s="216"/>
      <c r="G251" s="216"/>
      <c r="H251" s="219"/>
      <c r="I251" s="216"/>
    </row>
    <row r="252" spans="1:9" ht="15.75">
      <c r="A252" s="216"/>
      <c r="B252" s="216"/>
      <c r="C252" s="216"/>
      <c r="D252" s="216"/>
      <c r="E252" s="216"/>
      <c r="F252" s="216"/>
      <c r="G252" s="216"/>
      <c r="H252" s="219"/>
      <c r="I252" s="216"/>
    </row>
    <row r="253" spans="1:9" ht="15.75">
      <c r="A253" s="216"/>
      <c r="B253" s="216"/>
      <c r="C253" s="216"/>
      <c r="D253" s="216"/>
      <c r="E253" s="216"/>
      <c r="F253" s="216"/>
      <c r="G253" s="216"/>
      <c r="H253" s="219"/>
      <c r="I253" s="216"/>
    </row>
    <row r="254" spans="1:9" ht="15.75">
      <c r="A254" s="216"/>
      <c r="B254" s="216"/>
      <c r="C254" s="216"/>
      <c r="D254" s="216"/>
      <c r="E254" s="216"/>
      <c r="F254" s="216"/>
      <c r="G254" s="216"/>
      <c r="H254" s="219"/>
      <c r="I254" s="216"/>
    </row>
    <row r="255" spans="1:9" ht="15.75">
      <c r="A255" s="216"/>
      <c r="B255" s="216"/>
      <c r="C255" s="216"/>
      <c r="D255" s="216"/>
      <c r="E255" s="216"/>
      <c r="F255" s="216"/>
      <c r="G255" s="216"/>
      <c r="H255" s="219"/>
      <c r="I255" s="216"/>
    </row>
    <row r="256" spans="1:9" ht="15.75">
      <c r="A256" s="216"/>
      <c r="B256" s="216"/>
      <c r="C256" s="216"/>
      <c r="D256" s="216"/>
      <c r="E256" s="216"/>
      <c r="F256" s="216"/>
      <c r="G256" s="216"/>
      <c r="H256" s="219"/>
      <c r="I256" s="216"/>
    </row>
    <row r="257" spans="1:9" ht="15.75">
      <c r="A257" s="216"/>
      <c r="B257" s="216"/>
      <c r="C257" s="216"/>
      <c r="D257" s="216"/>
      <c r="E257" s="216"/>
      <c r="F257" s="216"/>
      <c r="G257" s="216"/>
      <c r="H257" s="219"/>
      <c r="I257" s="216"/>
    </row>
    <row r="258" spans="1:9" ht="15.75">
      <c r="A258" s="216"/>
      <c r="B258" s="216"/>
      <c r="C258" s="216"/>
      <c r="D258" s="216"/>
      <c r="E258" s="216"/>
      <c r="F258" s="216"/>
      <c r="G258" s="216"/>
      <c r="H258" s="219"/>
      <c r="I258" s="216"/>
    </row>
    <row r="259" spans="1:9" ht="15.75">
      <c r="A259" s="216"/>
      <c r="B259" s="216"/>
      <c r="C259" s="216"/>
      <c r="D259" s="216"/>
      <c r="E259" s="216"/>
      <c r="F259" s="216"/>
      <c r="G259" s="216"/>
      <c r="H259" s="219"/>
      <c r="I259" s="216"/>
    </row>
    <row r="260" spans="1:9" ht="15.75">
      <c r="A260" s="216"/>
      <c r="B260" s="216"/>
      <c r="C260" s="216"/>
      <c r="D260" s="216"/>
      <c r="E260" s="216"/>
      <c r="F260" s="216"/>
      <c r="G260" s="216"/>
      <c r="H260" s="219"/>
      <c r="I260" s="216"/>
    </row>
    <row r="261" spans="1:9" ht="15.75">
      <c r="A261" s="216"/>
      <c r="B261" s="216"/>
      <c r="C261" s="216"/>
      <c r="D261" s="216"/>
      <c r="E261" s="216"/>
      <c r="F261" s="216"/>
      <c r="G261" s="216"/>
      <c r="H261" s="219"/>
      <c r="I261" s="216"/>
    </row>
    <row r="262" spans="1:9" ht="15.75">
      <c r="A262" s="216"/>
      <c r="B262" s="216"/>
      <c r="C262" s="216"/>
      <c r="D262" s="216"/>
      <c r="E262" s="216"/>
      <c r="F262" s="216"/>
      <c r="G262" s="216"/>
      <c r="H262" s="219"/>
      <c r="I262" s="216"/>
    </row>
    <row r="263" spans="1:9" ht="15.75">
      <c r="A263" s="216"/>
      <c r="B263" s="216"/>
      <c r="C263" s="216"/>
      <c r="D263" s="216"/>
      <c r="E263" s="216"/>
      <c r="F263" s="216"/>
      <c r="G263" s="216"/>
      <c r="H263" s="219"/>
      <c r="I263" s="216"/>
    </row>
    <row r="264" spans="1:9" ht="15.75">
      <c r="A264" s="216"/>
      <c r="B264" s="216"/>
      <c r="C264" s="216"/>
      <c r="D264" s="216"/>
      <c r="E264" s="216"/>
      <c r="F264" s="216"/>
      <c r="G264" s="216"/>
      <c r="H264" s="219"/>
      <c r="I264" s="216"/>
    </row>
    <row r="265" spans="1:9" ht="15.75">
      <c r="A265" s="216"/>
      <c r="B265" s="216"/>
      <c r="C265" s="216"/>
      <c r="D265" s="216"/>
      <c r="E265" s="216"/>
      <c r="F265" s="216"/>
      <c r="G265" s="216"/>
      <c r="H265" s="219"/>
      <c r="I265" s="216"/>
    </row>
    <row r="266" spans="1:9" ht="15.75">
      <c r="A266" s="216"/>
      <c r="B266" s="216"/>
      <c r="C266" s="216"/>
      <c r="D266" s="216"/>
      <c r="E266" s="216"/>
      <c r="F266" s="216"/>
      <c r="G266" s="216"/>
      <c r="H266" s="219"/>
      <c r="I266" s="216"/>
    </row>
    <row r="267" spans="1:9" ht="15.75">
      <c r="A267" s="216"/>
      <c r="B267" s="216"/>
      <c r="C267" s="216"/>
      <c r="D267" s="216"/>
      <c r="E267" s="216"/>
      <c r="F267" s="216"/>
      <c r="G267" s="216"/>
      <c r="H267" s="219"/>
      <c r="I267" s="216"/>
    </row>
    <row r="268" spans="1:9" ht="15.75">
      <c r="A268" s="216"/>
      <c r="B268" s="216"/>
      <c r="C268" s="216"/>
      <c r="D268" s="216"/>
      <c r="E268" s="216"/>
      <c r="F268" s="216"/>
      <c r="G268" s="216"/>
      <c r="H268" s="219"/>
      <c r="I268" s="216"/>
    </row>
    <row r="269" spans="1:9" ht="15.75">
      <c r="A269" s="216"/>
      <c r="B269" s="216"/>
      <c r="C269" s="216"/>
      <c r="D269" s="216"/>
      <c r="E269" s="216"/>
      <c r="F269" s="216"/>
      <c r="G269" s="216"/>
      <c r="H269" s="219"/>
      <c r="I269" s="216"/>
    </row>
    <row r="270" spans="1:9" ht="15.75">
      <c r="A270" s="216"/>
      <c r="B270" s="216"/>
      <c r="C270" s="216"/>
      <c r="D270" s="216"/>
      <c r="E270" s="216"/>
      <c r="F270" s="216"/>
      <c r="G270" s="216"/>
      <c r="H270" s="219"/>
      <c r="I270" s="216"/>
    </row>
    <row r="271" spans="1:9" ht="15.75">
      <c r="A271" s="216"/>
      <c r="B271" s="216"/>
      <c r="C271" s="216"/>
      <c r="D271" s="216"/>
      <c r="E271" s="216"/>
      <c r="F271" s="216"/>
      <c r="G271" s="216"/>
      <c r="H271" s="219"/>
      <c r="I271" s="216"/>
    </row>
    <row r="272" spans="1:9" ht="15.75">
      <c r="A272" s="216"/>
      <c r="B272" s="216"/>
      <c r="C272" s="216"/>
      <c r="D272" s="216"/>
      <c r="E272" s="216"/>
      <c r="F272" s="216"/>
      <c r="G272" s="216"/>
      <c r="H272" s="219"/>
      <c r="I272" s="216"/>
    </row>
    <row r="273" spans="1:9" ht="15.75">
      <c r="A273" s="216"/>
      <c r="B273" s="216"/>
      <c r="C273" s="216"/>
      <c r="D273" s="216"/>
      <c r="E273" s="216"/>
      <c r="F273" s="216"/>
      <c r="G273" s="216"/>
      <c r="H273" s="219"/>
      <c r="I273" s="216"/>
    </row>
    <row r="274" spans="1:9" ht="15.75">
      <c r="A274" s="216"/>
      <c r="B274" s="216"/>
      <c r="C274" s="216"/>
      <c r="D274" s="216"/>
      <c r="E274" s="216"/>
      <c r="F274" s="216"/>
      <c r="G274" s="216"/>
      <c r="H274" s="219"/>
      <c r="I274" s="216"/>
    </row>
    <row r="275" spans="1:9" ht="15.75">
      <c r="A275" s="216"/>
      <c r="B275" s="216"/>
      <c r="C275" s="216"/>
      <c r="D275" s="216"/>
      <c r="E275" s="216"/>
      <c r="F275" s="216"/>
      <c r="G275" s="216"/>
      <c r="H275" s="219"/>
      <c r="I275" s="216"/>
    </row>
    <row r="276" spans="1:9" ht="15.75">
      <c r="A276" s="216"/>
      <c r="B276" s="216"/>
      <c r="C276" s="216"/>
      <c r="D276" s="216"/>
      <c r="E276" s="216"/>
      <c r="F276" s="216"/>
      <c r="G276" s="216"/>
      <c r="H276" s="219"/>
      <c r="I276" s="216"/>
    </row>
    <row r="277" spans="1:9" ht="15.75">
      <c r="A277" s="216"/>
      <c r="B277" s="216"/>
      <c r="C277" s="216"/>
      <c r="D277" s="216"/>
      <c r="E277" s="216"/>
      <c r="F277" s="216"/>
      <c r="G277" s="216"/>
      <c r="H277" s="219"/>
      <c r="I277" s="216"/>
    </row>
    <row r="278" spans="1:9" ht="15.75">
      <c r="A278" s="216"/>
      <c r="B278" s="216"/>
      <c r="C278" s="216"/>
      <c r="D278" s="216"/>
      <c r="E278" s="216"/>
      <c r="F278" s="216"/>
      <c r="G278" s="216"/>
      <c r="H278" s="219"/>
      <c r="I278" s="216"/>
    </row>
    <row r="279" spans="1:9" ht="15.75">
      <c r="A279" s="216"/>
      <c r="B279" s="216"/>
      <c r="C279" s="216"/>
      <c r="D279" s="216"/>
      <c r="E279" s="216"/>
      <c r="F279" s="216"/>
      <c r="G279" s="216"/>
      <c r="H279" s="219"/>
      <c r="I279" s="216"/>
    </row>
    <row r="280" spans="1:9" ht="15.75">
      <c r="A280" s="216"/>
      <c r="B280" s="216"/>
      <c r="C280" s="216"/>
      <c r="D280" s="216"/>
      <c r="E280" s="216"/>
      <c r="F280" s="216"/>
      <c r="G280" s="216"/>
      <c r="H280" s="219"/>
      <c r="I280" s="216"/>
    </row>
    <row r="281" spans="1:9" ht="15.75">
      <c r="A281" s="216"/>
      <c r="B281" s="216"/>
      <c r="C281" s="216"/>
      <c r="D281" s="216"/>
      <c r="E281" s="216"/>
      <c r="F281" s="216"/>
      <c r="G281" s="216"/>
      <c r="H281" s="219"/>
      <c r="I281" s="216"/>
    </row>
    <row r="282" spans="1:9" ht="15.75">
      <c r="A282" s="216"/>
      <c r="B282" s="216"/>
      <c r="C282" s="216"/>
      <c r="D282" s="216"/>
      <c r="E282" s="216"/>
      <c r="F282" s="216"/>
      <c r="G282" s="216"/>
      <c r="H282" s="219"/>
      <c r="I282" s="216"/>
    </row>
    <row r="283" spans="1:9" ht="15.75">
      <c r="A283" s="216"/>
      <c r="B283" s="216"/>
      <c r="C283" s="216"/>
      <c r="D283" s="216"/>
      <c r="E283" s="216"/>
      <c r="F283" s="216"/>
      <c r="G283" s="216"/>
      <c r="H283" s="219"/>
      <c r="I283" s="216"/>
    </row>
    <row r="284" spans="1:9" ht="15.75">
      <c r="A284" s="216"/>
      <c r="B284" s="216"/>
      <c r="C284" s="216"/>
      <c r="D284" s="216"/>
      <c r="E284" s="216"/>
      <c r="F284" s="216"/>
      <c r="G284" s="216"/>
      <c r="H284" s="219"/>
      <c r="I284" s="216"/>
    </row>
    <row r="285" spans="1:9" ht="15.75">
      <c r="A285" s="216"/>
      <c r="B285" s="216"/>
      <c r="C285" s="216"/>
      <c r="D285" s="216"/>
      <c r="E285" s="216"/>
      <c r="F285" s="216"/>
      <c r="G285" s="216"/>
      <c r="H285" s="219"/>
      <c r="I285" s="216"/>
    </row>
    <row r="286" spans="1:9" ht="15.75">
      <c r="A286" s="216"/>
      <c r="B286" s="216"/>
      <c r="C286" s="216"/>
      <c r="D286" s="216"/>
      <c r="E286" s="216"/>
      <c r="F286" s="216"/>
      <c r="G286" s="216"/>
      <c r="H286" s="219"/>
      <c r="I286" s="216"/>
    </row>
    <row r="287" spans="1:9" ht="15.75">
      <c r="A287" s="216"/>
      <c r="B287" s="216"/>
      <c r="C287" s="216"/>
      <c r="D287" s="216"/>
      <c r="E287" s="216"/>
      <c r="F287" s="216"/>
      <c r="G287" s="216"/>
      <c r="H287" s="219"/>
      <c r="I287" s="216"/>
    </row>
    <row r="288" spans="1:9" ht="15.75">
      <c r="A288" s="216"/>
      <c r="B288" s="216"/>
      <c r="C288" s="216"/>
      <c r="D288" s="216"/>
      <c r="E288" s="216"/>
      <c r="F288" s="216"/>
      <c r="G288" s="216"/>
      <c r="H288" s="219"/>
      <c r="I288" s="216"/>
    </row>
    <row r="289" spans="1:9" ht="15.75">
      <c r="A289" s="216"/>
      <c r="B289" s="216"/>
      <c r="C289" s="216"/>
      <c r="D289" s="216"/>
      <c r="E289" s="216"/>
      <c r="F289" s="216"/>
      <c r="G289" s="216"/>
      <c r="H289" s="219"/>
      <c r="I289" s="216"/>
    </row>
    <row r="290" spans="1:9" ht="15.75">
      <c r="A290" s="216"/>
      <c r="B290" s="216"/>
      <c r="C290" s="216"/>
      <c r="D290" s="216"/>
      <c r="E290" s="216"/>
      <c r="F290" s="216"/>
      <c r="G290" s="216"/>
      <c r="H290" s="219"/>
      <c r="I290" s="216"/>
    </row>
    <row r="291" spans="1:9" ht="15.75">
      <c r="A291" s="216"/>
      <c r="B291" s="216"/>
      <c r="C291" s="216"/>
      <c r="D291" s="216"/>
      <c r="E291" s="216"/>
      <c r="F291" s="216"/>
      <c r="G291" s="216"/>
      <c r="H291" s="219"/>
      <c r="I291" s="216"/>
    </row>
    <row r="292" spans="1:9" ht="15.75">
      <c r="A292" s="216"/>
      <c r="B292" s="216"/>
      <c r="C292" s="216"/>
      <c r="D292" s="216"/>
      <c r="E292" s="216"/>
      <c r="F292" s="216"/>
      <c r="G292" s="216"/>
      <c r="H292" s="219"/>
      <c r="I292" s="216"/>
    </row>
    <row r="293" spans="1:9" ht="15.75">
      <c r="A293" s="216"/>
      <c r="B293" s="216"/>
      <c r="C293" s="216"/>
      <c r="D293" s="216"/>
      <c r="E293" s="216"/>
      <c r="F293" s="216"/>
      <c r="G293" s="216"/>
      <c r="H293" s="219"/>
      <c r="I293" s="216"/>
    </row>
    <row r="294" spans="1:9" ht="15.75">
      <c r="A294" s="216"/>
      <c r="B294" s="216"/>
      <c r="C294" s="216"/>
      <c r="D294" s="216"/>
      <c r="E294" s="216"/>
      <c r="F294" s="216"/>
      <c r="G294" s="216"/>
      <c r="H294" s="219"/>
      <c r="I294" s="216"/>
    </row>
    <row r="295" spans="1:9" ht="15.75">
      <c r="A295" s="216"/>
      <c r="B295" s="216"/>
      <c r="C295" s="216"/>
      <c r="D295" s="216"/>
      <c r="E295" s="216"/>
      <c r="F295" s="216"/>
      <c r="G295" s="216"/>
      <c r="H295" s="219"/>
      <c r="I295" s="216"/>
    </row>
    <row r="296" spans="1:9" ht="15.75">
      <c r="A296" s="216"/>
      <c r="B296" s="216"/>
      <c r="C296" s="216"/>
      <c r="D296" s="216"/>
      <c r="E296" s="216"/>
      <c r="F296" s="216"/>
      <c r="G296" s="216"/>
      <c r="H296" s="219"/>
      <c r="I296" s="216"/>
    </row>
    <row r="297" spans="1:9" ht="15.75">
      <c r="A297" s="216"/>
      <c r="B297" s="216"/>
      <c r="C297" s="216"/>
      <c r="D297" s="216"/>
      <c r="E297" s="216"/>
      <c r="F297" s="216"/>
      <c r="G297" s="216"/>
      <c r="H297" s="219"/>
      <c r="I297" s="216"/>
    </row>
    <row r="298" spans="1:9" ht="15.75">
      <c r="A298" s="216"/>
      <c r="B298" s="216"/>
      <c r="C298" s="216"/>
      <c r="D298" s="216"/>
      <c r="E298" s="216"/>
      <c r="F298" s="216"/>
      <c r="G298" s="216"/>
      <c r="H298" s="219"/>
      <c r="I298" s="216"/>
    </row>
    <row r="299" spans="1:9" ht="15.75">
      <c r="A299" s="216"/>
      <c r="B299" s="216"/>
      <c r="C299" s="216"/>
      <c r="D299" s="216"/>
      <c r="E299" s="216"/>
      <c r="F299" s="216"/>
      <c r="G299" s="216"/>
      <c r="H299" s="219"/>
      <c r="I299" s="216"/>
    </row>
    <row r="300" spans="1:9" ht="15.75">
      <c r="A300" s="216"/>
      <c r="B300" s="216"/>
      <c r="C300" s="216"/>
      <c r="D300" s="216"/>
      <c r="E300" s="216"/>
      <c r="F300" s="216"/>
      <c r="G300" s="216"/>
      <c r="H300" s="219"/>
      <c r="I300" s="216"/>
    </row>
    <row r="301" spans="1:9" ht="15.75">
      <c r="A301" s="216"/>
      <c r="B301" s="216"/>
      <c r="C301" s="216"/>
      <c r="D301" s="216"/>
      <c r="E301" s="216"/>
      <c r="F301" s="216"/>
      <c r="G301" s="216"/>
      <c r="H301" s="219"/>
      <c r="I301" s="216"/>
    </row>
    <row r="302" spans="1:9" ht="15.75">
      <c r="A302" s="216"/>
      <c r="B302" s="216"/>
      <c r="C302" s="216"/>
      <c r="D302" s="216"/>
      <c r="E302" s="216"/>
      <c r="F302" s="216"/>
      <c r="G302" s="216"/>
      <c r="H302" s="219"/>
      <c r="I302" s="216"/>
    </row>
    <row r="303" spans="1:9" ht="15.75">
      <c r="A303" s="216"/>
      <c r="B303" s="216"/>
      <c r="C303" s="216"/>
      <c r="D303" s="216"/>
      <c r="E303" s="216"/>
      <c r="F303" s="216"/>
      <c r="G303" s="216"/>
      <c r="H303" s="219"/>
      <c r="I303" s="216"/>
    </row>
    <row r="304" spans="1:9" ht="15.75">
      <c r="A304" s="216"/>
      <c r="B304" s="216"/>
      <c r="C304" s="216"/>
      <c r="D304" s="216"/>
      <c r="E304" s="216"/>
      <c r="F304" s="216"/>
      <c r="G304" s="216"/>
      <c r="H304" s="219"/>
      <c r="I304" s="216"/>
    </row>
    <row r="305" spans="1:9" ht="15.75">
      <c r="A305" s="216"/>
      <c r="B305" s="216"/>
      <c r="C305" s="216"/>
      <c r="D305" s="216"/>
      <c r="E305" s="216"/>
      <c r="F305" s="216"/>
      <c r="G305" s="216"/>
      <c r="H305" s="219"/>
      <c r="I305" s="216"/>
    </row>
    <row r="306" spans="1:9" ht="15.75">
      <c r="A306" s="216"/>
      <c r="B306" s="216"/>
      <c r="C306" s="216"/>
      <c r="D306" s="216"/>
      <c r="E306" s="216"/>
      <c r="F306" s="216"/>
      <c r="G306" s="216"/>
      <c r="H306" s="219"/>
      <c r="I306" s="216"/>
    </row>
    <row r="307" spans="1:9" ht="15.75">
      <c r="A307" s="216"/>
      <c r="B307" s="216"/>
      <c r="C307" s="216"/>
      <c r="D307" s="216"/>
      <c r="E307" s="216"/>
      <c r="F307" s="216"/>
      <c r="G307" s="216"/>
      <c r="H307" s="219"/>
      <c r="I307" s="216"/>
    </row>
    <row r="308" spans="1:9" ht="15.75">
      <c r="A308" s="216"/>
      <c r="B308" s="216"/>
      <c r="C308" s="216"/>
      <c r="D308" s="216"/>
      <c r="E308" s="216"/>
      <c r="F308" s="216"/>
      <c r="G308" s="216"/>
      <c r="H308" s="219"/>
      <c r="I308" s="216"/>
    </row>
    <row r="309" spans="1:9" ht="15.75">
      <c r="A309" s="216"/>
      <c r="B309" s="216"/>
      <c r="C309" s="216"/>
      <c r="D309" s="216"/>
      <c r="E309" s="216"/>
      <c r="F309" s="216"/>
      <c r="G309" s="216"/>
      <c r="H309" s="219"/>
      <c r="I309" s="216"/>
    </row>
    <row r="310" spans="1:9" ht="15.75">
      <c r="A310" s="216"/>
      <c r="B310" s="216"/>
      <c r="C310" s="216"/>
      <c r="D310" s="216"/>
      <c r="E310" s="216"/>
      <c r="F310" s="216"/>
      <c r="G310" s="216"/>
      <c r="H310" s="219"/>
      <c r="I310" s="216"/>
    </row>
    <row r="311" spans="1:9" ht="15.75">
      <c r="A311" s="216"/>
      <c r="B311" s="216"/>
      <c r="C311" s="216"/>
      <c r="D311" s="216"/>
      <c r="E311" s="216"/>
      <c r="F311" s="216"/>
      <c r="G311" s="216"/>
      <c r="H311" s="219"/>
      <c r="I311" s="216"/>
    </row>
    <row r="312" spans="1:9" ht="15.75">
      <c r="A312" s="216"/>
      <c r="B312" s="216"/>
      <c r="C312" s="216"/>
      <c r="D312" s="216"/>
      <c r="E312" s="216"/>
      <c r="F312" s="216"/>
      <c r="G312" s="216"/>
      <c r="H312" s="219"/>
      <c r="I312" s="216"/>
    </row>
    <row r="313" spans="1:9" ht="15.75">
      <c r="A313" s="216"/>
      <c r="B313" s="216"/>
      <c r="C313" s="216"/>
      <c r="D313" s="216"/>
      <c r="E313" s="216"/>
      <c r="F313" s="216"/>
      <c r="G313" s="216"/>
      <c r="H313" s="219"/>
      <c r="I313" s="216"/>
    </row>
    <row r="314" spans="1:9" ht="15.75">
      <c r="A314" s="216"/>
      <c r="B314" s="216"/>
      <c r="C314" s="216"/>
      <c r="D314" s="216"/>
      <c r="E314" s="216"/>
      <c r="F314" s="216"/>
      <c r="G314" s="216"/>
      <c r="H314" s="219"/>
      <c r="I314" s="216"/>
    </row>
    <row r="315" spans="1:9" ht="15.75">
      <c r="A315" s="216"/>
      <c r="B315" s="216"/>
      <c r="C315" s="216"/>
      <c r="D315" s="216"/>
      <c r="E315" s="216"/>
      <c r="F315" s="216"/>
      <c r="G315" s="216"/>
      <c r="H315" s="219"/>
      <c r="I315" s="216"/>
    </row>
    <row r="316" spans="1:9" ht="15.75">
      <c r="A316" s="216"/>
      <c r="B316" s="216"/>
      <c r="C316" s="216"/>
      <c r="D316" s="216"/>
      <c r="E316" s="216"/>
      <c r="F316" s="216"/>
      <c r="G316" s="216"/>
      <c r="H316" s="219"/>
      <c r="I316" s="216"/>
    </row>
    <row r="317" spans="1:9" ht="15.75">
      <c r="A317" s="216"/>
      <c r="B317" s="216"/>
      <c r="C317" s="216"/>
      <c r="D317" s="216"/>
      <c r="E317" s="216"/>
      <c r="F317" s="216"/>
      <c r="G317" s="216"/>
      <c r="H317" s="219"/>
      <c r="I317" s="216"/>
    </row>
    <row r="318" spans="1:9" ht="15.75">
      <c r="A318" s="216"/>
      <c r="B318" s="216"/>
      <c r="C318" s="216"/>
      <c r="D318" s="216"/>
      <c r="E318" s="216"/>
      <c r="F318" s="216"/>
      <c r="G318" s="216"/>
      <c r="H318" s="219"/>
      <c r="I318" s="216"/>
    </row>
    <row r="319" spans="1:9" ht="15.75">
      <c r="A319" s="216"/>
      <c r="B319" s="216"/>
      <c r="C319" s="216"/>
      <c r="D319" s="216"/>
      <c r="E319" s="216"/>
      <c r="F319" s="216"/>
      <c r="G319" s="216"/>
      <c r="H319" s="219"/>
      <c r="I319" s="216"/>
    </row>
    <row r="320" spans="1:9" ht="15.75">
      <c r="A320" s="216"/>
      <c r="B320" s="216"/>
      <c r="C320" s="216"/>
      <c r="D320" s="216"/>
      <c r="E320" s="216"/>
      <c r="F320" s="216"/>
      <c r="G320" s="216"/>
      <c r="H320" s="219"/>
      <c r="I320" s="216"/>
    </row>
    <row r="321" spans="1:9" ht="15.75">
      <c r="A321" s="216"/>
      <c r="B321" s="216"/>
      <c r="C321" s="216"/>
      <c r="D321" s="216"/>
      <c r="E321" s="216"/>
      <c r="F321" s="216"/>
      <c r="G321" s="216"/>
      <c r="H321" s="219"/>
      <c r="I321" s="216"/>
    </row>
    <row r="322" spans="1:9" ht="15.75">
      <c r="A322" s="216"/>
      <c r="B322" s="216"/>
      <c r="C322" s="216"/>
      <c r="D322" s="216"/>
      <c r="E322" s="216"/>
      <c r="F322" s="216"/>
      <c r="G322" s="216"/>
      <c r="H322" s="219"/>
      <c r="I322" s="216"/>
    </row>
    <row r="323" spans="1:9" ht="15.75">
      <c r="A323" s="216"/>
      <c r="B323" s="216"/>
      <c r="C323" s="216"/>
      <c r="D323" s="216"/>
      <c r="E323" s="216"/>
      <c r="F323" s="216"/>
      <c r="G323" s="216"/>
      <c r="H323" s="219"/>
      <c r="I323" s="216"/>
    </row>
    <row r="324" spans="1:9" ht="15.75">
      <c r="A324" s="216"/>
      <c r="B324" s="216"/>
      <c r="C324" s="216"/>
      <c r="D324" s="216"/>
      <c r="E324" s="216"/>
      <c r="F324" s="216"/>
      <c r="G324" s="216"/>
      <c r="H324" s="219"/>
      <c r="I324" s="216"/>
    </row>
    <row r="325" spans="1:9" ht="15.75">
      <c r="A325" s="216"/>
      <c r="B325" s="216"/>
      <c r="C325" s="216"/>
      <c r="D325" s="216"/>
      <c r="E325" s="216"/>
      <c r="F325" s="216"/>
      <c r="G325" s="216"/>
      <c r="H325" s="219"/>
      <c r="I325" s="216"/>
    </row>
    <row r="326" spans="1:9" ht="15.75">
      <c r="A326" s="216"/>
      <c r="B326" s="216"/>
      <c r="C326" s="216"/>
      <c r="D326" s="216"/>
      <c r="E326" s="216"/>
      <c r="F326" s="216"/>
      <c r="G326" s="216"/>
      <c r="H326" s="219"/>
      <c r="I326" s="216"/>
    </row>
    <row r="327" spans="1:9" ht="15.75">
      <c r="A327" s="216"/>
      <c r="B327" s="216"/>
      <c r="C327" s="216"/>
      <c r="D327" s="216"/>
      <c r="E327" s="216"/>
      <c r="F327" s="216"/>
      <c r="G327" s="216"/>
      <c r="H327" s="219"/>
      <c r="I327" s="216"/>
    </row>
    <row r="328" spans="1:9" ht="15.75">
      <c r="A328" s="216"/>
      <c r="B328" s="216"/>
      <c r="C328" s="216"/>
      <c r="D328" s="216"/>
      <c r="E328" s="216"/>
      <c r="F328" s="216"/>
      <c r="G328" s="216"/>
      <c r="H328" s="219"/>
      <c r="I328" s="216"/>
    </row>
    <row r="329" spans="1:9" ht="15.75">
      <c r="A329" s="216"/>
      <c r="B329" s="216"/>
      <c r="C329" s="216"/>
      <c r="D329" s="216"/>
      <c r="E329" s="216"/>
      <c r="F329" s="216"/>
      <c r="G329" s="216"/>
      <c r="H329" s="219"/>
      <c r="I329" s="216"/>
    </row>
    <row r="330" spans="1:9" ht="15.75">
      <c r="A330" s="216"/>
      <c r="B330" s="216"/>
      <c r="C330" s="216"/>
      <c r="D330" s="216"/>
      <c r="E330" s="216"/>
      <c r="F330" s="216"/>
      <c r="G330" s="216"/>
      <c r="H330" s="219"/>
      <c r="I330" s="216"/>
    </row>
    <row r="331" spans="1:9" ht="15.75">
      <c r="A331" s="216"/>
      <c r="B331" s="216"/>
      <c r="C331" s="216"/>
      <c r="D331" s="216"/>
      <c r="E331" s="216"/>
      <c r="F331" s="216"/>
      <c r="G331" s="216"/>
      <c r="H331" s="219"/>
      <c r="I331" s="216"/>
    </row>
    <row r="332" spans="1:9" ht="15.75">
      <c r="A332" s="216"/>
      <c r="B332" s="216"/>
      <c r="C332" s="216"/>
      <c r="D332" s="216"/>
      <c r="E332" s="216"/>
      <c r="F332" s="216"/>
      <c r="G332" s="216"/>
      <c r="H332" s="219"/>
      <c r="I332" s="216"/>
    </row>
    <row r="333" spans="1:9" ht="15.75">
      <c r="A333" s="216"/>
      <c r="B333" s="216"/>
      <c r="C333" s="216"/>
      <c r="D333" s="216"/>
      <c r="E333" s="216"/>
      <c r="F333" s="216"/>
      <c r="G333" s="216"/>
      <c r="H333" s="219"/>
      <c r="I333" s="216"/>
    </row>
    <row r="334" spans="1:9" ht="15.75">
      <c r="A334" s="216"/>
      <c r="B334" s="216"/>
      <c r="C334" s="216"/>
      <c r="D334" s="216"/>
      <c r="E334" s="216"/>
      <c r="F334" s="216"/>
      <c r="G334" s="216"/>
      <c r="H334" s="219"/>
      <c r="I334" s="216"/>
    </row>
    <row r="335" spans="1:9" ht="15.75">
      <c r="A335" s="216"/>
      <c r="B335" s="216"/>
      <c r="C335" s="216"/>
      <c r="D335" s="216"/>
      <c r="E335" s="216"/>
      <c r="F335" s="216"/>
      <c r="G335" s="216"/>
      <c r="H335" s="219"/>
      <c r="I335" s="216"/>
    </row>
    <row r="336" spans="1:9" ht="15.75">
      <c r="A336" s="216"/>
      <c r="B336" s="216"/>
      <c r="C336" s="216"/>
      <c r="D336" s="216"/>
      <c r="E336" s="216"/>
      <c r="F336" s="216"/>
      <c r="G336" s="216"/>
      <c r="H336" s="219"/>
      <c r="I336" s="216"/>
    </row>
    <row r="337" spans="1:9" ht="15.75">
      <c r="A337" s="216"/>
      <c r="B337" s="216"/>
      <c r="C337" s="216"/>
      <c r="D337" s="216"/>
      <c r="E337" s="216"/>
      <c r="F337" s="216"/>
      <c r="G337" s="216"/>
      <c r="H337" s="219"/>
      <c r="I337" s="216"/>
    </row>
    <row r="338" spans="1:9" ht="15.75">
      <c r="A338" s="216"/>
      <c r="B338" s="216"/>
      <c r="C338" s="216"/>
      <c r="D338" s="216"/>
      <c r="E338" s="216"/>
      <c r="F338" s="216"/>
      <c r="G338" s="216"/>
      <c r="H338" s="219"/>
      <c r="I338" s="216"/>
    </row>
    <row r="339" spans="1:9" ht="15.75">
      <c r="A339" s="216"/>
      <c r="B339" s="216"/>
      <c r="C339" s="216"/>
      <c r="D339" s="216"/>
      <c r="E339" s="216"/>
      <c r="F339" s="216"/>
      <c r="G339" s="216"/>
      <c r="H339" s="219"/>
      <c r="I339" s="216"/>
    </row>
    <row r="340" spans="1:9" ht="15.75">
      <c r="A340" s="216"/>
      <c r="B340" s="216"/>
      <c r="C340" s="216"/>
      <c r="D340" s="216"/>
      <c r="E340" s="216"/>
      <c r="F340" s="216"/>
      <c r="G340" s="216"/>
      <c r="H340" s="219"/>
      <c r="I340" s="216"/>
    </row>
    <row r="341" spans="1:9" ht="15.75">
      <c r="A341" s="216"/>
      <c r="B341" s="216"/>
      <c r="C341" s="216"/>
      <c r="D341" s="216"/>
      <c r="E341" s="216"/>
      <c r="F341" s="216"/>
      <c r="G341" s="216"/>
      <c r="H341" s="219"/>
      <c r="I341" s="216"/>
    </row>
    <row r="342" spans="1:9" ht="15.75">
      <c r="A342" s="216"/>
      <c r="B342" s="216"/>
      <c r="C342" s="216"/>
      <c r="D342" s="216"/>
      <c r="E342" s="216"/>
      <c r="F342" s="216"/>
      <c r="G342" s="216"/>
      <c r="H342" s="219"/>
      <c r="I342" s="216"/>
    </row>
    <row r="343" spans="1:9" ht="15.75">
      <c r="A343" s="216"/>
      <c r="B343" s="216"/>
      <c r="C343" s="216"/>
      <c r="D343" s="216"/>
      <c r="E343" s="216"/>
      <c r="F343" s="216"/>
      <c r="G343" s="216"/>
      <c r="H343" s="219"/>
      <c r="I343" s="216"/>
    </row>
    <row r="344" spans="1:9" ht="15.75">
      <c r="A344" s="216"/>
      <c r="B344" s="216"/>
      <c r="C344" s="216"/>
      <c r="D344" s="216"/>
      <c r="E344" s="216"/>
      <c r="F344" s="216"/>
      <c r="G344" s="216"/>
      <c r="H344" s="219"/>
      <c r="I344" s="216"/>
    </row>
    <row r="345" spans="1:9" ht="15.75">
      <c r="A345" s="216"/>
      <c r="B345" s="216"/>
      <c r="C345" s="216"/>
      <c r="D345" s="216"/>
      <c r="E345" s="216"/>
      <c r="F345" s="216"/>
      <c r="G345" s="216"/>
      <c r="H345" s="219"/>
      <c r="I345" s="216"/>
    </row>
    <row r="346" spans="1:9" ht="15.75">
      <c r="A346" s="216"/>
      <c r="B346" s="216"/>
      <c r="C346" s="216"/>
      <c r="D346" s="216"/>
      <c r="E346" s="216"/>
      <c r="F346" s="216"/>
      <c r="G346" s="216"/>
      <c r="H346" s="219"/>
      <c r="I346" s="216"/>
    </row>
    <row r="347" spans="1:9" ht="15.75">
      <c r="A347" s="216"/>
      <c r="B347" s="216"/>
      <c r="C347" s="216"/>
      <c r="D347" s="216"/>
      <c r="E347" s="216"/>
      <c r="F347" s="216"/>
      <c r="G347" s="216"/>
      <c r="H347" s="219"/>
      <c r="I347" s="216"/>
    </row>
    <row r="348" spans="1:9" ht="15.75">
      <c r="A348" s="216"/>
      <c r="B348" s="216"/>
      <c r="C348" s="216"/>
      <c r="D348" s="216"/>
      <c r="E348" s="216"/>
      <c r="F348" s="216"/>
      <c r="G348" s="216"/>
      <c r="H348" s="219"/>
      <c r="I348" s="216"/>
    </row>
    <row r="349" spans="1:9" ht="15.75">
      <c r="A349" s="216"/>
      <c r="B349" s="216"/>
      <c r="C349" s="216"/>
      <c r="D349" s="216"/>
      <c r="E349" s="216"/>
      <c r="F349" s="216"/>
      <c r="G349" s="216"/>
      <c r="H349" s="219"/>
      <c r="I349" s="216"/>
    </row>
    <row r="350" spans="1:9" ht="15.75">
      <c r="A350" s="216"/>
      <c r="B350" s="216"/>
      <c r="C350" s="216"/>
      <c r="D350" s="216"/>
      <c r="E350" s="216"/>
      <c r="F350" s="216"/>
      <c r="G350" s="216"/>
      <c r="H350" s="219"/>
      <c r="I350" s="216"/>
    </row>
    <row r="351" spans="1:9" ht="15.75">
      <c r="A351" s="216"/>
      <c r="B351" s="216"/>
      <c r="C351" s="216"/>
      <c r="D351" s="216"/>
      <c r="E351" s="216"/>
      <c r="F351" s="216"/>
      <c r="G351" s="216"/>
      <c r="H351" s="219"/>
      <c r="I351" s="216"/>
    </row>
    <row r="352" spans="1:9" ht="15.75">
      <c r="A352" s="216"/>
      <c r="B352" s="216"/>
      <c r="C352" s="216"/>
      <c r="D352" s="216"/>
      <c r="E352" s="216"/>
      <c r="F352" s="216"/>
      <c r="G352" s="216"/>
      <c r="H352" s="219"/>
      <c r="I352" s="216"/>
    </row>
    <row r="353" spans="1:9" ht="15.75">
      <c r="A353" s="216"/>
      <c r="B353" s="216"/>
      <c r="C353" s="216"/>
      <c r="D353" s="216"/>
      <c r="E353" s="216"/>
      <c r="F353" s="216"/>
      <c r="G353" s="216"/>
      <c r="H353" s="219"/>
      <c r="I353" s="216"/>
    </row>
    <row r="354" spans="1:9" ht="15.75">
      <c r="A354" s="216"/>
      <c r="B354" s="216"/>
      <c r="C354" s="216"/>
      <c r="D354" s="216"/>
      <c r="E354" s="216"/>
      <c r="F354" s="216"/>
      <c r="G354" s="216"/>
      <c r="H354" s="219"/>
      <c r="I354" s="216"/>
    </row>
    <row r="355" spans="1:9" ht="15.75">
      <c r="A355" s="216"/>
      <c r="B355" s="216"/>
      <c r="C355" s="216"/>
      <c r="D355" s="216"/>
      <c r="E355" s="216"/>
      <c r="F355" s="216"/>
      <c r="G355" s="216"/>
      <c r="H355" s="219"/>
      <c r="I355" s="216"/>
    </row>
    <row r="356" spans="1:9" ht="15.75">
      <c r="A356" s="216"/>
      <c r="B356" s="216"/>
      <c r="C356" s="216"/>
      <c r="D356" s="216"/>
      <c r="E356" s="216"/>
      <c r="F356" s="216"/>
      <c r="G356" s="216"/>
      <c r="H356" s="219"/>
      <c r="I356" s="216"/>
    </row>
    <row r="357" spans="1:9" ht="15.75">
      <c r="A357" s="216"/>
      <c r="B357" s="216"/>
      <c r="C357" s="216"/>
      <c r="D357" s="216"/>
      <c r="E357" s="216"/>
      <c r="F357" s="216"/>
      <c r="G357" s="216"/>
      <c r="H357" s="219"/>
      <c r="I357" s="216"/>
    </row>
    <row r="358" spans="1:9" ht="15.75">
      <c r="A358" s="216"/>
      <c r="B358" s="216"/>
      <c r="C358" s="216"/>
      <c r="D358" s="216"/>
      <c r="E358" s="216"/>
      <c r="F358" s="216"/>
      <c r="G358" s="216"/>
      <c r="H358" s="219"/>
      <c r="I358" s="216"/>
    </row>
    <row r="359" spans="1:9" ht="15.75">
      <c r="A359" s="216"/>
      <c r="B359" s="216"/>
      <c r="C359" s="216"/>
      <c r="D359" s="216"/>
      <c r="E359" s="216"/>
      <c r="F359" s="216"/>
      <c r="G359" s="216"/>
      <c r="H359" s="219"/>
      <c r="I359" s="216"/>
    </row>
    <row r="360" spans="1:9" ht="15.75">
      <c r="A360" s="216"/>
      <c r="B360" s="216"/>
      <c r="C360" s="216"/>
      <c r="D360" s="216"/>
      <c r="E360" s="216"/>
      <c r="F360" s="216"/>
      <c r="G360" s="216"/>
      <c r="H360" s="219"/>
      <c r="I360" s="216"/>
    </row>
    <row r="361" spans="1:9" ht="15.75">
      <c r="A361" s="216"/>
      <c r="B361" s="216"/>
      <c r="C361" s="216"/>
      <c r="D361" s="216"/>
      <c r="E361" s="216"/>
      <c r="F361" s="216"/>
      <c r="G361" s="216"/>
      <c r="H361" s="219"/>
      <c r="I361" s="216"/>
    </row>
    <row r="362" spans="1:9" ht="15.75">
      <c r="A362" s="216"/>
      <c r="B362" s="216"/>
      <c r="C362" s="216"/>
      <c r="D362" s="216"/>
      <c r="E362" s="216"/>
      <c r="F362" s="216"/>
      <c r="G362" s="216"/>
      <c r="H362" s="219"/>
      <c r="I362" s="216"/>
    </row>
    <row r="363" spans="1:9" ht="15.75">
      <c r="A363" s="216"/>
      <c r="B363" s="216"/>
      <c r="C363" s="216"/>
      <c r="D363" s="216"/>
      <c r="E363" s="216"/>
      <c r="F363" s="216"/>
      <c r="G363" s="216"/>
      <c r="H363" s="219"/>
      <c r="I363" s="216"/>
    </row>
    <row r="364" spans="1:9" ht="15.75">
      <c r="A364" s="216"/>
      <c r="B364" s="216"/>
      <c r="C364" s="216"/>
      <c r="D364" s="216"/>
      <c r="E364" s="216"/>
      <c r="F364" s="216"/>
      <c r="G364" s="216"/>
      <c r="H364" s="219"/>
      <c r="I364" s="216"/>
    </row>
    <row r="365" spans="1:9" ht="15.75">
      <c r="A365" s="216"/>
      <c r="B365" s="216"/>
      <c r="C365" s="216"/>
      <c r="D365" s="216"/>
      <c r="E365" s="216"/>
      <c r="F365" s="216"/>
      <c r="G365" s="216"/>
      <c r="H365" s="219"/>
      <c r="I365" s="216"/>
    </row>
    <row r="366" spans="1:9" ht="15.75">
      <c r="A366" s="216"/>
      <c r="B366" s="216"/>
      <c r="C366" s="216"/>
      <c r="D366" s="216"/>
      <c r="E366" s="216"/>
      <c r="F366" s="216"/>
      <c r="G366" s="216"/>
      <c r="H366" s="219"/>
      <c r="I366" s="216"/>
    </row>
    <row r="367" spans="1:9" ht="15.75">
      <c r="A367" s="216"/>
      <c r="B367" s="216"/>
      <c r="C367" s="216"/>
      <c r="D367" s="216"/>
      <c r="E367" s="216"/>
      <c r="F367" s="216"/>
      <c r="G367" s="216"/>
      <c r="H367" s="219"/>
      <c r="I367" s="216"/>
    </row>
    <row r="368" spans="1:9" ht="15.75">
      <c r="A368" s="216"/>
      <c r="B368" s="216"/>
      <c r="C368" s="216"/>
      <c r="D368" s="216"/>
      <c r="E368" s="216"/>
      <c r="F368" s="216"/>
      <c r="G368" s="216"/>
      <c r="H368" s="219"/>
      <c r="I368" s="216"/>
    </row>
    <row r="369" spans="1:9" ht="15.75">
      <c r="A369" s="216"/>
      <c r="B369" s="216"/>
      <c r="C369" s="216"/>
      <c r="D369" s="216"/>
      <c r="E369" s="216"/>
      <c r="F369" s="216"/>
      <c r="G369" s="216"/>
      <c r="H369" s="219"/>
      <c r="I369" s="216"/>
    </row>
    <row r="370" spans="1:9" ht="15.75">
      <c r="A370" s="216"/>
      <c r="B370" s="216"/>
      <c r="C370" s="216"/>
      <c r="D370" s="216"/>
      <c r="E370" s="216"/>
      <c r="F370" s="216"/>
      <c r="G370" s="216"/>
      <c r="H370" s="219"/>
      <c r="I370" s="216"/>
    </row>
    <row r="371" spans="1:9" ht="15.75">
      <c r="A371" s="216"/>
      <c r="B371" s="216"/>
      <c r="C371" s="216"/>
      <c r="D371" s="216"/>
      <c r="E371" s="216"/>
      <c r="F371" s="216"/>
      <c r="G371" s="216"/>
      <c r="H371" s="219"/>
      <c r="I371" s="216"/>
    </row>
    <row r="372" spans="1:9" ht="15.75">
      <c r="A372" s="216"/>
      <c r="B372" s="216"/>
      <c r="C372" s="216"/>
      <c r="D372" s="216"/>
      <c r="E372" s="216"/>
      <c r="F372" s="216"/>
      <c r="G372" s="216"/>
      <c r="H372" s="219"/>
      <c r="I372" s="216"/>
    </row>
    <row r="373" spans="1:9" ht="15.75">
      <c r="A373" s="216"/>
      <c r="B373" s="216"/>
      <c r="C373" s="216"/>
      <c r="D373" s="216"/>
      <c r="E373" s="216"/>
      <c r="F373" s="216"/>
      <c r="G373" s="216"/>
      <c r="H373" s="219"/>
      <c r="I373" s="216"/>
    </row>
    <row r="374" spans="1:9" ht="15.75">
      <c r="A374" s="216"/>
      <c r="B374" s="216"/>
      <c r="C374" s="216"/>
      <c r="D374" s="216"/>
      <c r="E374" s="216"/>
      <c r="F374" s="216"/>
      <c r="G374" s="216"/>
      <c r="H374" s="219"/>
      <c r="I374" s="216"/>
    </row>
    <row r="375" spans="1:9" ht="15.75">
      <c r="A375" s="216"/>
      <c r="B375" s="216"/>
      <c r="C375" s="216"/>
      <c r="D375" s="216"/>
      <c r="E375" s="216"/>
      <c r="F375" s="216"/>
      <c r="G375" s="216"/>
      <c r="H375" s="219"/>
      <c r="I375" s="216"/>
    </row>
    <row r="376" spans="1:9" ht="15.75">
      <c r="A376" s="216"/>
      <c r="B376" s="216"/>
      <c r="C376" s="216"/>
      <c r="D376" s="216"/>
      <c r="E376" s="216"/>
      <c r="F376" s="216"/>
      <c r="G376" s="216"/>
      <c r="H376" s="219"/>
      <c r="I376" s="216"/>
    </row>
    <row r="377" spans="1:9" ht="15.75">
      <c r="A377" s="216"/>
      <c r="B377" s="216"/>
      <c r="C377" s="216"/>
      <c r="D377" s="216"/>
      <c r="E377" s="216"/>
      <c r="F377" s="216"/>
      <c r="G377" s="216"/>
      <c r="H377" s="219"/>
      <c r="I377" s="216"/>
    </row>
    <row r="378" spans="1:9" ht="15.75">
      <c r="A378" s="216"/>
      <c r="B378" s="216"/>
      <c r="C378" s="216"/>
      <c r="D378" s="216"/>
      <c r="E378" s="216"/>
      <c r="F378" s="216"/>
      <c r="G378" s="216"/>
      <c r="H378" s="219"/>
      <c r="I378" s="216"/>
    </row>
    <row r="379" spans="1:9" ht="15.75">
      <c r="A379" s="216"/>
      <c r="B379" s="216"/>
      <c r="C379" s="216"/>
      <c r="D379" s="216"/>
      <c r="E379" s="216"/>
      <c r="F379" s="216"/>
      <c r="G379" s="216"/>
      <c r="H379" s="219"/>
      <c r="I379" s="216"/>
    </row>
    <row r="380" spans="1:9" ht="15.75">
      <c r="A380" s="216"/>
      <c r="B380" s="216"/>
      <c r="C380" s="216"/>
      <c r="D380" s="216"/>
      <c r="E380" s="216"/>
      <c r="F380" s="216"/>
      <c r="G380" s="216"/>
      <c r="H380" s="219"/>
      <c r="I380" s="216"/>
    </row>
    <row r="381" spans="1:9" ht="15.75">
      <c r="A381" s="216"/>
      <c r="B381" s="216"/>
      <c r="C381" s="216"/>
      <c r="D381" s="216"/>
      <c r="E381" s="216"/>
      <c r="F381" s="216"/>
      <c r="G381" s="216"/>
      <c r="H381" s="219"/>
      <c r="I381" s="216"/>
    </row>
    <row r="382" spans="1:9" ht="15.75">
      <c r="A382" s="216"/>
      <c r="B382" s="216"/>
      <c r="C382" s="216"/>
      <c r="D382" s="216"/>
      <c r="E382" s="216"/>
      <c r="F382" s="216"/>
      <c r="G382" s="216"/>
      <c r="H382" s="219"/>
      <c r="I382" s="216"/>
    </row>
    <row r="383" spans="1:9" ht="15.75">
      <c r="A383" s="216"/>
      <c r="B383" s="216"/>
      <c r="C383" s="216"/>
      <c r="D383" s="216"/>
      <c r="E383" s="216"/>
      <c r="F383" s="216"/>
      <c r="G383" s="216"/>
      <c r="H383" s="219"/>
      <c r="I383" s="216"/>
    </row>
    <row r="384" spans="1:9" ht="15.75">
      <c r="A384" s="216"/>
      <c r="B384" s="216"/>
      <c r="C384" s="216"/>
      <c r="D384" s="216"/>
      <c r="E384" s="216"/>
      <c r="F384" s="216"/>
      <c r="G384" s="216"/>
      <c r="H384" s="219"/>
      <c r="I384" s="216"/>
    </row>
    <row r="385" spans="1:9" ht="15.75">
      <c r="A385" s="216"/>
      <c r="B385" s="216"/>
      <c r="C385" s="216"/>
      <c r="D385" s="216"/>
      <c r="E385" s="216"/>
      <c r="F385" s="216"/>
      <c r="G385" s="216"/>
      <c r="H385" s="219"/>
      <c r="I385" s="216"/>
    </row>
    <row r="386" spans="1:9" ht="15.75">
      <c r="A386" s="216"/>
      <c r="B386" s="216"/>
      <c r="C386" s="216"/>
      <c r="D386" s="216"/>
      <c r="E386" s="216"/>
      <c r="F386" s="216"/>
      <c r="G386" s="216"/>
      <c r="H386" s="219"/>
      <c r="I386" s="216"/>
    </row>
    <row r="387" spans="1:9" ht="15.75">
      <c r="A387" s="216"/>
      <c r="B387" s="216"/>
      <c r="C387" s="216"/>
      <c r="D387" s="216"/>
      <c r="E387" s="216"/>
      <c r="F387" s="216"/>
      <c r="G387" s="216"/>
      <c r="H387" s="219"/>
      <c r="I387" s="216"/>
    </row>
    <row r="388" spans="1:9" ht="15.75">
      <c r="A388" s="216"/>
      <c r="B388" s="216"/>
      <c r="C388" s="216"/>
      <c r="D388" s="216"/>
      <c r="E388" s="216"/>
      <c r="F388" s="216"/>
      <c r="G388" s="216"/>
      <c r="H388" s="219"/>
      <c r="I388" s="216"/>
    </row>
    <row r="389" spans="1:9" ht="15.75">
      <c r="A389" s="216"/>
      <c r="B389" s="216"/>
      <c r="C389" s="216"/>
      <c r="D389" s="216"/>
      <c r="E389" s="216"/>
      <c r="F389" s="216"/>
      <c r="G389" s="216"/>
      <c r="H389" s="219"/>
      <c r="I389" s="216"/>
    </row>
    <row r="390" spans="1:9" ht="15.75">
      <c r="A390" s="216"/>
      <c r="B390" s="216"/>
      <c r="C390" s="216"/>
      <c r="D390" s="216"/>
      <c r="E390" s="216"/>
      <c r="F390" s="216"/>
      <c r="G390" s="216"/>
      <c r="H390" s="219"/>
      <c r="I390" s="216"/>
    </row>
    <row r="391" spans="1:9" ht="15.75">
      <c r="A391" s="216"/>
      <c r="B391" s="216"/>
      <c r="C391" s="216"/>
      <c r="D391" s="216"/>
      <c r="E391" s="216"/>
      <c r="F391" s="216"/>
      <c r="G391" s="216"/>
      <c r="H391" s="219"/>
      <c r="I391" s="216"/>
    </row>
    <row r="392" spans="1:9" ht="15.75">
      <c r="A392" s="216"/>
      <c r="B392" s="216"/>
      <c r="C392" s="216"/>
      <c r="D392" s="216"/>
      <c r="E392" s="216"/>
      <c r="F392" s="216"/>
      <c r="G392" s="216"/>
      <c r="H392" s="219"/>
      <c r="I392" s="216"/>
    </row>
    <row r="393" spans="1:9" ht="15.75">
      <c r="A393" s="216"/>
      <c r="B393" s="216"/>
      <c r="C393" s="216"/>
      <c r="D393" s="216"/>
      <c r="E393" s="216"/>
      <c r="F393" s="216"/>
      <c r="G393" s="216"/>
      <c r="H393" s="219"/>
      <c r="I393" s="216"/>
    </row>
    <row r="394" spans="1:9" ht="15.75">
      <c r="A394" s="216"/>
      <c r="B394" s="216"/>
      <c r="C394" s="216"/>
      <c r="D394" s="216"/>
      <c r="E394" s="216"/>
      <c r="F394" s="216"/>
      <c r="G394" s="216"/>
      <c r="H394" s="219"/>
      <c r="I394" s="216"/>
    </row>
    <row r="395" spans="1:9" ht="15.75">
      <c r="A395" s="216"/>
      <c r="B395" s="216"/>
      <c r="C395" s="216"/>
      <c r="D395" s="216"/>
      <c r="E395" s="216"/>
      <c r="F395" s="216"/>
      <c r="G395" s="216"/>
      <c r="H395" s="219"/>
      <c r="I395" s="216"/>
    </row>
    <row r="396" spans="1:9" ht="15.75">
      <c r="A396" s="216"/>
      <c r="B396" s="216"/>
      <c r="C396" s="216"/>
      <c r="D396" s="216"/>
      <c r="E396" s="216"/>
      <c r="F396" s="216"/>
      <c r="G396" s="216"/>
      <c r="H396" s="219"/>
      <c r="I396" s="216"/>
    </row>
    <row r="397" spans="1:9" ht="15.75">
      <c r="A397" s="216"/>
      <c r="B397" s="216"/>
      <c r="C397" s="216"/>
      <c r="D397" s="216"/>
      <c r="E397" s="216"/>
      <c r="F397" s="216"/>
      <c r="G397" s="216"/>
      <c r="H397" s="219"/>
      <c r="I397" s="216"/>
    </row>
    <row r="398" spans="1:9" ht="15.75">
      <c r="A398" s="216"/>
      <c r="B398" s="216"/>
      <c r="C398" s="216"/>
      <c r="D398" s="216"/>
      <c r="E398" s="216"/>
      <c r="F398" s="216"/>
      <c r="G398" s="216"/>
      <c r="H398" s="219"/>
      <c r="I398" s="216"/>
    </row>
    <row r="399" spans="1:9" ht="15.75">
      <c r="A399" s="216"/>
      <c r="B399" s="216"/>
      <c r="C399" s="216"/>
      <c r="D399" s="216"/>
      <c r="E399" s="216"/>
      <c r="F399" s="216"/>
      <c r="G399" s="216"/>
      <c r="H399" s="219"/>
      <c r="I399" s="216"/>
    </row>
    <row r="400" spans="1:9" ht="13.5">
      <c r="A400" s="211"/>
      <c r="B400" s="211"/>
      <c r="C400" s="647"/>
      <c r="D400" s="647"/>
      <c r="E400" s="647"/>
      <c r="F400" s="647"/>
      <c r="G400" s="647"/>
      <c r="H400" s="647"/>
      <c r="I400" s="647"/>
    </row>
    <row r="401" spans="1:9" ht="13.5">
      <c r="A401" s="211"/>
      <c r="B401" s="211"/>
      <c r="C401" s="647"/>
      <c r="D401" s="647"/>
      <c r="E401" s="647"/>
      <c r="F401" s="647"/>
      <c r="G401" s="647"/>
      <c r="H401" s="647"/>
      <c r="I401" s="647"/>
    </row>
    <row r="402" spans="1:9" ht="13.5">
      <c r="A402" s="211"/>
      <c r="B402" s="211"/>
    </row>
    <row r="403" spans="1:9" ht="13.5">
      <c r="A403" s="211"/>
      <c r="B403" s="211"/>
    </row>
    <row r="404" spans="1:9" ht="13.5">
      <c r="A404" s="211"/>
      <c r="B404" s="211"/>
    </row>
    <row r="405" spans="1:9" ht="13.5">
      <c r="A405" s="211"/>
      <c r="B405" s="211"/>
    </row>
    <row r="406" spans="1:9" ht="13.5">
      <c r="A406" s="211"/>
      <c r="B406" s="211"/>
    </row>
    <row r="407" spans="1:9" ht="13.5">
      <c r="A407" s="211"/>
      <c r="B407" s="211"/>
    </row>
    <row r="408" spans="1:9" ht="13.5">
      <c r="A408" s="211"/>
      <c r="B408" s="211"/>
    </row>
    <row r="409" spans="1:9" ht="13.5">
      <c r="A409" s="211"/>
      <c r="B409" s="211"/>
    </row>
    <row r="410" spans="1:9" ht="13.5">
      <c r="A410" s="211"/>
      <c r="B410" s="211"/>
    </row>
    <row r="411" spans="1:9" ht="13.5">
      <c r="A411" s="211"/>
      <c r="B411" s="211"/>
    </row>
    <row r="412" spans="1:9" ht="13.5">
      <c r="A412" s="211"/>
      <c r="B412" s="211"/>
    </row>
    <row r="413" spans="1:9" ht="13.5">
      <c r="A413" s="211"/>
      <c r="B413" s="211"/>
    </row>
    <row r="414" spans="1:9" ht="13.5">
      <c r="A414" s="211"/>
      <c r="B414" s="211"/>
    </row>
    <row r="415" spans="1:9" ht="13.5">
      <c r="A415" s="211"/>
      <c r="B415" s="211"/>
    </row>
    <row r="416" spans="1:9" ht="13.5">
      <c r="A416" s="211"/>
      <c r="B416" s="211"/>
    </row>
    <row r="417" spans="1:2" ht="13.5">
      <c r="A417" s="211"/>
      <c r="B417" s="211"/>
    </row>
    <row r="418" spans="1:2" ht="13.5">
      <c r="A418" s="211"/>
      <c r="B418" s="211"/>
    </row>
    <row r="419" spans="1:2" ht="13.5">
      <c r="A419" s="211"/>
      <c r="B419" s="211"/>
    </row>
    <row r="420" spans="1:2" ht="13.5">
      <c r="A420" s="211"/>
      <c r="B420" s="211"/>
    </row>
    <row r="421" spans="1:2" ht="13.5">
      <c r="A421" s="211"/>
      <c r="B421" s="211"/>
    </row>
    <row r="422" spans="1:2" ht="13.5">
      <c r="A422" s="211"/>
      <c r="B422" s="211"/>
    </row>
    <row r="423" spans="1:2" ht="13.5">
      <c r="A423" s="211"/>
      <c r="B423" s="211"/>
    </row>
    <row r="424" spans="1:2" ht="13.5">
      <c r="A424" s="211"/>
      <c r="B424" s="211"/>
    </row>
    <row r="425" spans="1:2" ht="13.5">
      <c r="A425" s="211"/>
      <c r="B425" s="211"/>
    </row>
    <row r="426" spans="1:2" ht="13.5">
      <c r="A426" s="211"/>
      <c r="B426" s="211"/>
    </row>
    <row r="427" spans="1:2" ht="13.5">
      <c r="A427" s="211"/>
      <c r="B427" s="211"/>
    </row>
    <row r="428" spans="1:2" ht="13.5">
      <c r="A428" s="211"/>
      <c r="B428" s="211"/>
    </row>
    <row r="429" spans="1:2" ht="13.5">
      <c r="A429" s="211"/>
      <c r="B429" s="211"/>
    </row>
    <row r="430" spans="1:2" ht="13.5">
      <c r="A430" s="211"/>
      <c r="B430" s="211"/>
    </row>
    <row r="431" spans="1:2" ht="13.5">
      <c r="A431" s="211"/>
      <c r="B431" s="211"/>
    </row>
    <row r="432" spans="1:2" ht="13.5">
      <c r="A432" s="211"/>
      <c r="B432" s="211"/>
    </row>
    <row r="433" spans="1:2" ht="13.5">
      <c r="A433" s="211"/>
      <c r="B433" s="211"/>
    </row>
    <row r="434" spans="1:2" ht="13.5">
      <c r="A434" s="211"/>
      <c r="B434" s="211"/>
    </row>
    <row r="435" spans="1:2" ht="13.5">
      <c r="A435" s="211"/>
      <c r="B435" s="211"/>
    </row>
    <row r="436" spans="1:2" ht="13.5">
      <c r="A436" s="211"/>
      <c r="B436" s="211"/>
    </row>
    <row r="437" spans="1:2" ht="13.5">
      <c r="A437" s="211"/>
      <c r="B437" s="211"/>
    </row>
    <row r="438" spans="1:2" ht="13.5">
      <c r="A438" s="211"/>
      <c r="B438" s="211"/>
    </row>
    <row r="439" spans="1:2" ht="13.5">
      <c r="A439" s="211"/>
      <c r="B439" s="211"/>
    </row>
    <row r="440" spans="1:2" ht="13.5">
      <c r="A440" s="211"/>
      <c r="B440" s="211"/>
    </row>
    <row r="441" spans="1:2" ht="13.5">
      <c r="A441" s="211"/>
      <c r="B441" s="211"/>
    </row>
    <row r="442" spans="1:2" ht="13.5">
      <c r="A442" s="211"/>
      <c r="B442" s="211"/>
    </row>
    <row r="443" spans="1:2" ht="13.5">
      <c r="A443" s="211"/>
      <c r="B443" s="211"/>
    </row>
    <row r="444" spans="1:2" ht="13.5">
      <c r="A444" s="211"/>
      <c r="B444" s="211"/>
    </row>
    <row r="445" spans="1:2" ht="13.5">
      <c r="A445" s="211"/>
      <c r="B445" s="211"/>
    </row>
    <row r="446" spans="1:2" ht="13.5">
      <c r="A446" s="211"/>
      <c r="B446" s="211"/>
    </row>
    <row r="447" spans="1:2" ht="13.5">
      <c r="A447" s="211"/>
      <c r="B447" s="211"/>
    </row>
    <row r="448" spans="1:2" ht="13.5">
      <c r="A448" s="211"/>
      <c r="B448" s="211"/>
    </row>
    <row r="449" spans="1:2" ht="13.5">
      <c r="A449" s="211"/>
      <c r="B449" s="211"/>
    </row>
    <row r="450" spans="1:2" ht="13.5">
      <c r="A450" s="211"/>
      <c r="B450" s="211"/>
    </row>
    <row r="451" spans="1:2" ht="13.5">
      <c r="A451" s="211"/>
      <c r="B451" s="211"/>
    </row>
    <row r="452" spans="1:2" ht="13.5">
      <c r="A452" s="211"/>
      <c r="B452" s="211"/>
    </row>
    <row r="453" spans="1:2" ht="13.5">
      <c r="A453" s="211"/>
      <c r="B453" s="211"/>
    </row>
    <row r="454" spans="1:2" ht="13.5">
      <c r="A454" s="211"/>
      <c r="B454" s="211"/>
    </row>
    <row r="455" spans="1:2" ht="13.5">
      <c r="A455" s="211"/>
      <c r="B455" s="211"/>
    </row>
    <row r="456" spans="1:2" ht="13.5">
      <c r="A456" s="211"/>
      <c r="B456" s="211"/>
    </row>
    <row r="457" spans="1:2" ht="13.5">
      <c r="A457" s="211"/>
      <c r="B457" s="211"/>
    </row>
    <row r="458" spans="1:2" ht="13.5">
      <c r="A458" s="211"/>
      <c r="B458" s="211"/>
    </row>
    <row r="459" spans="1:2" ht="13.5">
      <c r="A459" s="211"/>
      <c r="B459" s="211"/>
    </row>
    <row r="460" spans="1:2" ht="13.5">
      <c r="A460" s="211"/>
      <c r="B460" s="211"/>
    </row>
    <row r="461" spans="1:2" ht="13.5">
      <c r="A461" s="211"/>
      <c r="B461" s="211"/>
    </row>
    <row r="462" spans="1:2" ht="13.5">
      <c r="A462" s="211"/>
      <c r="B462" s="211"/>
    </row>
    <row r="463" spans="1:2" ht="13.5">
      <c r="A463" s="211"/>
      <c r="B463" s="211"/>
    </row>
    <row r="464" spans="1:2" ht="13.5">
      <c r="A464" s="211"/>
      <c r="B464" s="211"/>
    </row>
    <row r="465" spans="1:2" ht="13.5">
      <c r="A465" s="211"/>
      <c r="B465" s="211"/>
    </row>
    <row r="466" spans="1:2" ht="13.5">
      <c r="A466" s="211"/>
      <c r="B466" s="211"/>
    </row>
    <row r="467" spans="1:2" ht="13.5">
      <c r="A467" s="211"/>
      <c r="B467" s="211"/>
    </row>
    <row r="468" spans="1:2" ht="13.5">
      <c r="A468" s="211"/>
      <c r="B468" s="211"/>
    </row>
    <row r="469" spans="1:2" ht="13.5">
      <c r="A469" s="211"/>
      <c r="B469" s="211"/>
    </row>
    <row r="470" spans="1:2" ht="13.5">
      <c r="A470" s="211"/>
      <c r="B470" s="211"/>
    </row>
    <row r="471" spans="1:2" ht="13.5">
      <c r="A471" s="211"/>
      <c r="B471" s="211"/>
    </row>
    <row r="472" spans="1:2" ht="13.5">
      <c r="A472" s="211"/>
      <c r="B472" s="211"/>
    </row>
    <row r="473" spans="1:2" ht="13.5">
      <c r="A473" s="211"/>
      <c r="B473" s="211"/>
    </row>
    <row r="474" spans="1:2" ht="13.5">
      <c r="A474" s="211"/>
      <c r="B474" s="211"/>
    </row>
    <row r="475" spans="1:2" ht="13.5">
      <c r="A475" s="211"/>
      <c r="B475" s="211"/>
    </row>
    <row r="476" spans="1:2" ht="13.5">
      <c r="A476" s="211"/>
      <c r="B476" s="211"/>
    </row>
    <row r="477" spans="1:2" ht="13.5">
      <c r="A477" s="211"/>
      <c r="B477" s="211"/>
    </row>
    <row r="478" spans="1:2" ht="13.5">
      <c r="A478" s="211"/>
      <c r="B478" s="211"/>
    </row>
    <row r="479" spans="1:2" ht="13.5">
      <c r="A479" s="211"/>
      <c r="B479" s="211"/>
    </row>
    <row r="480" spans="1:2" ht="13.5">
      <c r="A480" s="211"/>
      <c r="B480" s="211"/>
    </row>
    <row r="481" spans="1:2" ht="13.5">
      <c r="A481" s="211"/>
      <c r="B481" s="211"/>
    </row>
    <row r="482" spans="1:2" ht="13.5">
      <c r="A482" s="211"/>
      <c r="B482" s="211"/>
    </row>
    <row r="483" spans="1:2" ht="13.5">
      <c r="A483" s="211"/>
      <c r="B483" s="211"/>
    </row>
    <row r="484" spans="1:2" ht="13.5">
      <c r="A484" s="211"/>
      <c r="B484" s="211"/>
    </row>
    <row r="485" spans="1:2" ht="13.5">
      <c r="A485" s="211"/>
      <c r="B485" s="211"/>
    </row>
    <row r="486" spans="1:2" ht="13.5">
      <c r="A486" s="211"/>
      <c r="B486" s="211"/>
    </row>
    <row r="487" spans="1:2" ht="13.5">
      <c r="A487" s="211"/>
      <c r="B487" s="211"/>
    </row>
    <row r="488" spans="1:2" ht="13.5">
      <c r="A488" s="211"/>
      <c r="B488" s="211"/>
    </row>
    <row r="489" spans="1:2" ht="13.5">
      <c r="A489" s="211"/>
      <c r="B489" s="211"/>
    </row>
    <row r="490" spans="1:2" ht="13.5">
      <c r="A490" s="211"/>
      <c r="B490" s="211"/>
    </row>
    <row r="491" spans="1:2" ht="13.5">
      <c r="A491" s="211"/>
      <c r="B491" s="211"/>
    </row>
    <row r="492" spans="1:2" ht="13.5">
      <c r="A492" s="211"/>
      <c r="B492" s="211"/>
    </row>
    <row r="493" spans="1:2" ht="13.5">
      <c r="A493" s="211"/>
      <c r="B493" s="211"/>
    </row>
    <row r="494" spans="1:2" ht="13.5">
      <c r="A494" s="211"/>
      <c r="B494" s="211"/>
    </row>
    <row r="495" spans="1:2" ht="13.5">
      <c r="A495" s="211"/>
      <c r="B495" s="211"/>
    </row>
    <row r="496" spans="1:2" ht="13.5">
      <c r="A496" s="211"/>
      <c r="B496" s="211"/>
    </row>
    <row r="497" spans="1:2" ht="13.5">
      <c r="A497" s="211"/>
      <c r="B497" s="211"/>
    </row>
    <row r="498" spans="1:2" ht="13.5">
      <c r="A498" s="211"/>
      <c r="B498" s="211"/>
    </row>
    <row r="499" spans="1:2" ht="13.5">
      <c r="A499" s="211"/>
      <c r="B499" s="211"/>
    </row>
    <row r="500" spans="1:2" ht="13.5">
      <c r="A500" s="211"/>
      <c r="B500" s="211"/>
    </row>
    <row r="501" spans="1:2" ht="13.5">
      <c r="A501" s="211"/>
      <c r="B501" s="211"/>
    </row>
    <row r="502" spans="1:2" ht="13.5">
      <c r="A502" s="211"/>
      <c r="B502" s="211"/>
    </row>
    <row r="503" spans="1:2" ht="13.5">
      <c r="A503" s="211"/>
      <c r="B503" s="211"/>
    </row>
    <row r="504" spans="1:2" ht="13.5">
      <c r="A504" s="211"/>
      <c r="B504" s="211"/>
    </row>
    <row r="505" spans="1:2" ht="13.5">
      <c r="A505" s="211"/>
      <c r="B505" s="211"/>
    </row>
    <row r="506" spans="1:2" ht="13.5">
      <c r="A506" s="211"/>
      <c r="B506" s="211"/>
    </row>
    <row r="507" spans="1:2" ht="13.5">
      <c r="A507" s="211"/>
      <c r="B507" s="211"/>
    </row>
    <row r="508" spans="1:2" ht="13.5">
      <c r="A508" s="211"/>
      <c r="B508" s="211"/>
    </row>
    <row r="509" spans="1:2" ht="13.5">
      <c r="A509" s="211"/>
      <c r="B509" s="211"/>
    </row>
    <row r="510" spans="1:2" ht="13.5">
      <c r="A510" s="211"/>
      <c r="B510" s="211"/>
    </row>
    <row r="511" spans="1:2" ht="13.5">
      <c r="A511" s="211"/>
      <c r="B511" s="211"/>
    </row>
    <row r="512" spans="1:2" ht="13.5">
      <c r="A512" s="211"/>
      <c r="B512" s="211"/>
    </row>
    <row r="513" spans="1:2" ht="13.5">
      <c r="A513" s="211"/>
      <c r="B513" s="211"/>
    </row>
    <row r="514" spans="1:2" ht="13.5">
      <c r="A514" s="211"/>
      <c r="B514" s="211"/>
    </row>
    <row r="515" spans="1:2" ht="13.5">
      <c r="A515" s="211"/>
      <c r="B515" s="211"/>
    </row>
    <row r="516" spans="1:2" ht="13.5">
      <c r="A516" s="211"/>
      <c r="B516" s="211"/>
    </row>
    <row r="517" spans="1:2" ht="13.5">
      <c r="A517" s="211"/>
      <c r="B517" s="211"/>
    </row>
    <row r="518" spans="1:2" ht="13.5">
      <c r="A518" s="211"/>
      <c r="B518" s="211"/>
    </row>
    <row r="519" spans="1:2" ht="13.5">
      <c r="A519" s="211"/>
      <c r="B519" s="211"/>
    </row>
    <row r="520" spans="1:2" ht="13.5">
      <c r="A520" s="211"/>
      <c r="B520" s="211"/>
    </row>
    <row r="521" spans="1:2" ht="13.5">
      <c r="A521" s="211"/>
      <c r="B521" s="211"/>
    </row>
    <row r="522" spans="1:2" ht="13.5">
      <c r="A522" s="211"/>
      <c r="B522" s="211"/>
    </row>
    <row r="523" spans="1:2" ht="13.5">
      <c r="A523" s="211"/>
      <c r="B523" s="211"/>
    </row>
    <row r="524" spans="1:2" ht="13.5">
      <c r="A524" s="211"/>
      <c r="B524" s="211"/>
    </row>
    <row r="525" spans="1:2" ht="13.5">
      <c r="A525" s="211"/>
      <c r="B525" s="211"/>
    </row>
    <row r="526" spans="1:2" ht="13.5">
      <c r="A526" s="211"/>
      <c r="B526" s="211"/>
    </row>
    <row r="527" spans="1:2" ht="13.5">
      <c r="A527" s="211"/>
      <c r="B527" s="211"/>
    </row>
    <row r="528" spans="1:2" ht="13.5">
      <c r="A528" s="211"/>
      <c r="B528" s="211"/>
    </row>
    <row r="529" spans="1:2" ht="13.5">
      <c r="A529" s="211"/>
      <c r="B529" s="211"/>
    </row>
    <row r="530" spans="1:2" ht="13.5">
      <c r="A530" s="211"/>
      <c r="B530" s="211"/>
    </row>
    <row r="531" spans="1:2" ht="13.5">
      <c r="A531" s="211"/>
      <c r="B531" s="211"/>
    </row>
    <row r="532" spans="1:2" ht="13.5">
      <c r="A532" s="211"/>
      <c r="B532" s="211"/>
    </row>
    <row r="533" spans="1:2" ht="13.5">
      <c r="A533" s="211"/>
      <c r="B533" s="211"/>
    </row>
    <row r="534" spans="1:2" ht="13.5">
      <c r="A534" s="211"/>
      <c r="B534" s="211"/>
    </row>
    <row r="535" spans="1:2" ht="13.5">
      <c r="A535" s="211"/>
      <c r="B535" s="211"/>
    </row>
    <row r="536" spans="1:2" ht="13.5">
      <c r="A536" s="211"/>
      <c r="B536" s="211"/>
    </row>
    <row r="537" spans="1:2" ht="13.5">
      <c r="A537" s="211"/>
      <c r="B537" s="211"/>
    </row>
    <row r="538" spans="1:2" ht="13.5">
      <c r="A538" s="211"/>
      <c r="B538" s="211"/>
    </row>
    <row r="539" spans="1:2" ht="13.5">
      <c r="A539" s="211"/>
      <c r="B539" s="211"/>
    </row>
    <row r="540" spans="1:2" ht="13.5">
      <c r="A540" s="211"/>
      <c r="B540" s="211"/>
    </row>
    <row r="541" spans="1:2" ht="13.5">
      <c r="A541" s="211"/>
      <c r="B541" s="211"/>
    </row>
    <row r="542" spans="1:2" ht="13.5">
      <c r="A542" s="211"/>
      <c r="B542" s="211"/>
    </row>
    <row r="543" spans="1:2" ht="13.5">
      <c r="A543" s="211"/>
      <c r="B543" s="211"/>
    </row>
    <row r="544" spans="1:2" ht="13.5">
      <c r="A544" s="211"/>
      <c r="B544" s="211"/>
    </row>
    <row r="545" spans="1:2" ht="13.5">
      <c r="A545" s="211"/>
      <c r="B545" s="211"/>
    </row>
    <row r="546" spans="1:2" ht="13.5">
      <c r="A546" s="211"/>
      <c r="B546" s="211"/>
    </row>
    <row r="547" spans="1:2" ht="13.5">
      <c r="A547" s="211"/>
      <c r="B547" s="211"/>
    </row>
    <row r="548" spans="1:2" ht="13.5">
      <c r="A548" s="211"/>
      <c r="B548" s="211"/>
    </row>
    <row r="549" spans="1:2" ht="13.5">
      <c r="A549" s="211"/>
      <c r="B549" s="211"/>
    </row>
    <row r="550" spans="1:2" ht="13.5">
      <c r="A550" s="211"/>
      <c r="B550" s="211"/>
    </row>
    <row r="551" spans="1:2" ht="13.5">
      <c r="A551" s="211"/>
      <c r="B551" s="211"/>
    </row>
    <row r="552" spans="1:2" ht="13.5">
      <c r="A552" s="211"/>
      <c r="B552" s="211"/>
    </row>
    <row r="553" spans="1:2" ht="13.5">
      <c r="A553" s="211"/>
      <c r="B553" s="211"/>
    </row>
    <row r="554" spans="1:2" ht="13.5">
      <c r="A554" s="211"/>
      <c r="B554" s="211"/>
    </row>
    <row r="555" spans="1:2" ht="13.5">
      <c r="A555" s="211"/>
      <c r="B555" s="211"/>
    </row>
    <row r="556" spans="1:2" ht="13.5">
      <c r="A556" s="211"/>
      <c r="B556" s="211"/>
    </row>
    <row r="557" spans="1:2" ht="13.5">
      <c r="A557" s="211"/>
      <c r="B557" s="211"/>
    </row>
    <row r="558" spans="1:2" ht="13.5">
      <c r="A558" s="211"/>
      <c r="B558" s="211"/>
    </row>
    <row r="559" spans="1:2" ht="13.5">
      <c r="A559" s="211"/>
      <c r="B559" s="211"/>
    </row>
    <row r="560" spans="1:2" ht="13.5">
      <c r="A560" s="211"/>
      <c r="B560" s="211"/>
    </row>
    <row r="561" spans="1:2" ht="13.5">
      <c r="A561" s="211"/>
      <c r="B561" s="211"/>
    </row>
    <row r="562" spans="1:2" ht="13.5">
      <c r="A562" s="211"/>
      <c r="B562" s="211"/>
    </row>
    <row r="563" spans="1:2" ht="13.5">
      <c r="A563" s="211"/>
      <c r="B563" s="211"/>
    </row>
    <row r="564" spans="1:2" ht="13.5">
      <c r="A564" s="211"/>
      <c r="B564" s="211"/>
    </row>
    <row r="565" spans="1:2" ht="13.5">
      <c r="A565" s="211"/>
      <c r="B565" s="211"/>
    </row>
    <row r="566" spans="1:2" ht="13.5">
      <c r="A566" s="211"/>
      <c r="B566" s="211"/>
    </row>
    <row r="567" spans="1:2" ht="13.5">
      <c r="A567" s="211"/>
      <c r="B567" s="211"/>
    </row>
    <row r="568" spans="1:2" ht="13.5">
      <c r="A568" s="211"/>
      <c r="B568" s="211"/>
    </row>
    <row r="569" spans="1:2" ht="13.5">
      <c r="A569" s="211"/>
      <c r="B569" s="211"/>
    </row>
    <row r="570" spans="1:2" ht="13.5">
      <c r="A570" s="211"/>
      <c r="B570" s="211"/>
    </row>
    <row r="571" spans="1:2" ht="13.5">
      <c r="A571" s="211"/>
      <c r="B571" s="211"/>
    </row>
    <row r="572" spans="1:2" ht="13.5">
      <c r="A572" s="211"/>
      <c r="B572" s="211"/>
    </row>
    <row r="573" spans="1:2" ht="13.5">
      <c r="A573" s="211"/>
      <c r="B573" s="211"/>
    </row>
    <row r="574" spans="1:2" ht="13.5">
      <c r="A574" s="211"/>
      <c r="B574" s="211"/>
    </row>
    <row r="575" spans="1:2" ht="13.5">
      <c r="A575" s="211"/>
      <c r="B575" s="211"/>
    </row>
    <row r="576" spans="1:2" ht="13.5">
      <c r="A576" s="211"/>
      <c r="B576" s="211"/>
    </row>
    <row r="577" spans="1:2" ht="13.5">
      <c r="A577" s="211"/>
      <c r="B577" s="211"/>
    </row>
    <row r="578" spans="1:2" ht="13.5">
      <c r="A578" s="211"/>
      <c r="B578" s="211"/>
    </row>
  </sheetData>
  <mergeCells count="5">
    <mergeCell ref="H41:I41"/>
    <mergeCell ref="D3:F3"/>
    <mergeCell ref="D4:F4"/>
    <mergeCell ref="D5:F5"/>
    <mergeCell ref="D6:F6"/>
  </mergeCells>
  <phoneticPr fontId="2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G50"/>
  <sheetViews>
    <sheetView showGridLines="0" zoomScaleNormal="100" workbookViewId="0">
      <selection activeCell="B19" sqref="B19"/>
    </sheetView>
  </sheetViews>
  <sheetFormatPr defaultRowHeight="12.75"/>
  <cols>
    <col min="1" max="1" width="12.5703125" customWidth="1"/>
    <col min="2" max="2" width="12" customWidth="1"/>
    <col min="3" max="3" width="46.5703125" customWidth="1"/>
    <col min="4" max="4" width="36.42578125" customWidth="1"/>
    <col min="5" max="5" width="8" customWidth="1"/>
    <col min="6" max="6" width="12.42578125" customWidth="1"/>
    <col min="7" max="7" width="1" customWidth="1"/>
  </cols>
  <sheetData>
    <row r="1" spans="1:7" ht="19.5">
      <c r="A1" s="100" t="s">
        <v>0</v>
      </c>
      <c r="B1" s="101"/>
      <c r="E1" s="100" t="s">
        <v>37</v>
      </c>
    </row>
    <row r="2" spans="1:7" ht="9" customHeight="1"/>
    <row r="3" spans="1:7" ht="18.75" customHeight="1"/>
    <row r="5" spans="1:7" ht="15.75">
      <c r="A5" s="1155" t="s">
        <v>2</v>
      </c>
      <c r="B5" s="1155"/>
      <c r="C5" s="1155"/>
      <c r="D5" s="1155"/>
      <c r="E5" s="1155"/>
      <c r="F5" s="1155"/>
    </row>
    <row r="6" spans="1:7" s="5" customFormat="1"/>
    <row r="7" spans="1:7">
      <c r="A7" s="1156" t="s">
        <v>38</v>
      </c>
      <c r="B7" s="1156"/>
      <c r="C7" s="1156"/>
      <c r="D7" s="1156"/>
      <c r="E7" s="1156"/>
      <c r="F7" s="1156"/>
    </row>
    <row r="8" spans="1:7" ht="7.5" customHeight="1"/>
    <row r="9" spans="1:7">
      <c r="A9" s="1169" t="s">
        <v>39</v>
      </c>
      <c r="B9" s="1158"/>
      <c r="C9" s="1158"/>
      <c r="D9" s="1158"/>
      <c r="E9" s="1158"/>
      <c r="F9" s="1158"/>
    </row>
    <row r="10" spans="1:7" ht="15.75" customHeight="1">
      <c r="A10" s="1170">
        <f>'Pet-cash'!$A$11</f>
        <v>40816</v>
      </c>
      <c r="B10" s="1170"/>
      <c r="C10" s="1170"/>
      <c r="D10" s="1170"/>
      <c r="E10" s="1170"/>
      <c r="F10" s="1170"/>
      <c r="G10" s="5"/>
    </row>
    <row r="12" spans="1:7" ht="41.25" customHeight="1" thickBot="1">
      <c r="B12" s="20" t="s">
        <v>40</v>
      </c>
      <c r="C12" s="12" t="s">
        <v>41</v>
      </c>
      <c r="D12" s="11" t="s">
        <v>42</v>
      </c>
    </row>
    <row r="13" spans="1:7" ht="16.5" customHeight="1">
      <c r="B13" s="202">
        <v>39659</v>
      </c>
      <c r="C13" s="21" t="s">
        <v>43</v>
      </c>
      <c r="D13" s="204">
        <v>5445</v>
      </c>
    </row>
    <row r="14" spans="1:7" ht="16.5" customHeight="1">
      <c r="B14" s="203">
        <v>39673</v>
      </c>
      <c r="C14" s="43" t="s">
        <v>44</v>
      </c>
      <c r="D14" s="205">
        <v>4925.75</v>
      </c>
    </row>
    <row r="15" spans="1:7" ht="16.5" customHeight="1">
      <c r="B15" s="203">
        <v>39873</v>
      </c>
      <c r="C15" s="43" t="s">
        <v>45</v>
      </c>
      <c r="D15" s="205">
        <v>3714.75</v>
      </c>
    </row>
    <row r="16" spans="1:7" ht="16.5" customHeight="1">
      <c r="B16" s="203">
        <v>39904</v>
      </c>
      <c r="C16" s="43" t="s">
        <v>46</v>
      </c>
      <c r="D16" s="205">
        <v>4346.25</v>
      </c>
    </row>
    <row r="17" spans="2:4" ht="16.5" customHeight="1">
      <c r="B17" s="210">
        <v>39934</v>
      </c>
      <c r="C17" s="22" t="s">
        <v>47</v>
      </c>
      <c r="D17" s="205">
        <v>3479</v>
      </c>
    </row>
    <row r="18" spans="2:4" ht="16.5" customHeight="1">
      <c r="B18" s="210">
        <v>39996</v>
      </c>
      <c r="C18" s="22" t="s">
        <v>48</v>
      </c>
      <c r="D18" s="206">
        <v>5554.5</v>
      </c>
    </row>
    <row r="19" spans="2:4" ht="16.5" customHeight="1">
      <c r="B19" s="210">
        <v>40081</v>
      </c>
      <c r="C19" s="22" t="s">
        <v>49</v>
      </c>
      <c r="D19" s="206">
        <v>12608.4</v>
      </c>
    </row>
    <row r="20" spans="2:4" ht="16.5" customHeight="1">
      <c r="B20" s="210">
        <v>40118</v>
      </c>
      <c r="C20" s="22" t="s">
        <v>50</v>
      </c>
      <c r="D20" s="206">
        <v>3981.2</v>
      </c>
    </row>
    <row r="21" spans="2:4" ht="16.5" customHeight="1">
      <c r="B21" s="210">
        <v>40126</v>
      </c>
      <c r="C21" s="22" t="s">
        <v>51</v>
      </c>
      <c r="D21" s="206">
        <v>3339</v>
      </c>
    </row>
    <row r="22" spans="2:4" ht="16.5" customHeight="1">
      <c r="B22" s="210">
        <v>40155</v>
      </c>
      <c r="C22" s="22" t="s">
        <v>52</v>
      </c>
      <c r="D22" s="206">
        <v>4991.2</v>
      </c>
    </row>
    <row r="23" spans="2:4" ht="16.5" customHeight="1">
      <c r="B23" s="210">
        <v>40228</v>
      </c>
      <c r="C23" s="22" t="s">
        <v>53</v>
      </c>
      <c r="D23" s="206">
        <v>8428</v>
      </c>
    </row>
    <row r="24" spans="2:4" ht="16.5" customHeight="1">
      <c r="B24" s="210">
        <v>40366</v>
      </c>
      <c r="C24" s="22" t="s">
        <v>54</v>
      </c>
      <c r="D24" s="206">
        <v>8583.25</v>
      </c>
    </row>
    <row r="25" spans="2:4" ht="16.5" customHeight="1">
      <c r="B25" s="203">
        <v>40452</v>
      </c>
      <c r="C25" s="43" t="s">
        <v>55</v>
      </c>
      <c r="D25" s="205">
        <v>4020</v>
      </c>
    </row>
    <row r="26" spans="2:4" ht="16.5" customHeight="1">
      <c r="B26" s="203">
        <v>40575</v>
      </c>
      <c r="C26" s="43" t="s">
        <v>56</v>
      </c>
      <c r="D26" s="205">
        <v>4352.3999999999996</v>
      </c>
    </row>
    <row r="27" spans="2:4" ht="16.5" customHeight="1">
      <c r="B27" s="203">
        <v>40575</v>
      </c>
      <c r="C27" s="43" t="s">
        <v>57</v>
      </c>
      <c r="D27" s="205">
        <v>5556.36</v>
      </c>
    </row>
    <row r="28" spans="2:4" ht="16.5" customHeight="1">
      <c r="B28" s="210">
        <v>40634</v>
      </c>
      <c r="C28" s="22" t="s">
        <v>58</v>
      </c>
      <c r="D28" s="205">
        <v>7786</v>
      </c>
    </row>
    <row r="29" spans="2:4" ht="16.5" customHeight="1">
      <c r="B29" s="210">
        <v>40634</v>
      </c>
      <c r="C29" s="22" t="s">
        <v>59</v>
      </c>
      <c r="D29" s="206">
        <v>6610</v>
      </c>
    </row>
    <row r="30" spans="2:4" ht="16.5" customHeight="1">
      <c r="B30" s="210">
        <v>40664</v>
      </c>
      <c r="C30" s="22" t="s">
        <v>60</v>
      </c>
      <c r="D30" s="206">
        <v>4591.7</v>
      </c>
    </row>
    <row r="31" spans="2:4" ht="16.5" customHeight="1">
      <c r="B31" s="210">
        <v>40718</v>
      </c>
      <c r="C31" s="22" t="s">
        <v>61</v>
      </c>
      <c r="D31" s="206">
        <v>6610.1</v>
      </c>
    </row>
    <row r="32" spans="2:4" ht="16.5" customHeight="1">
      <c r="B32" s="210"/>
      <c r="C32" s="22"/>
      <c r="D32" s="206"/>
    </row>
    <row r="33" spans="1:7" ht="16.5" customHeight="1">
      <c r="B33" s="210"/>
      <c r="C33" s="22"/>
      <c r="D33" s="206"/>
    </row>
    <row r="34" spans="1:7" ht="16.5" customHeight="1">
      <c r="B34" s="210"/>
      <c r="C34" s="22"/>
      <c r="D34" s="206"/>
    </row>
    <row r="35" spans="1:7" ht="16.5" customHeight="1">
      <c r="B35" s="210"/>
      <c r="C35" s="22"/>
      <c r="D35" s="206"/>
    </row>
    <row r="36" spans="1:7" ht="16.5" customHeight="1" thickBot="1">
      <c r="B36" s="51"/>
      <c r="C36" s="34"/>
      <c r="D36" s="207"/>
    </row>
    <row r="37" spans="1:7" ht="16.5" customHeight="1" thickBot="1">
      <c r="B37" s="112" t="s">
        <v>62</v>
      </c>
      <c r="C37" s="39"/>
      <c r="D37" s="208">
        <f>SUM(D13:D36)</f>
        <v>108922.85999999999</v>
      </c>
    </row>
    <row r="38" spans="1:7" ht="13.5" thickTop="1">
      <c r="B38" s="19"/>
      <c r="C38" s="19"/>
      <c r="D38" s="19"/>
      <c r="E38" s="19"/>
      <c r="F38" s="19"/>
      <c r="G38" s="19"/>
    </row>
    <row r="39" spans="1:7">
      <c r="B39" s="19"/>
      <c r="C39" s="19"/>
      <c r="D39" s="19"/>
      <c r="E39" s="19"/>
      <c r="F39" s="19"/>
      <c r="G39" s="19"/>
    </row>
    <row r="40" spans="1:7">
      <c r="B40" s="19"/>
      <c r="C40" s="19"/>
      <c r="D40" s="19"/>
      <c r="E40" s="19"/>
      <c r="F40" s="19"/>
      <c r="G40" s="19"/>
    </row>
    <row r="41" spans="1:7">
      <c r="B41" s="19"/>
      <c r="C41" s="19"/>
      <c r="D41" s="19"/>
      <c r="E41" s="19"/>
      <c r="F41" s="19"/>
      <c r="G41" s="19"/>
    </row>
    <row r="42" spans="1:7">
      <c r="B42" s="19"/>
      <c r="C42" s="19"/>
      <c r="D42" s="19"/>
      <c r="E42" s="19"/>
      <c r="F42" s="19"/>
      <c r="G42" s="19"/>
    </row>
    <row r="43" spans="1:7">
      <c r="A43" s="104"/>
      <c r="B43" s="105"/>
      <c r="C43" s="105"/>
      <c r="D43" s="105"/>
      <c r="E43" s="105"/>
      <c r="F43" s="105"/>
    </row>
    <row r="44" spans="1:7">
      <c r="B44" s="97">
        <v>10</v>
      </c>
      <c r="C44" s="19"/>
      <c r="D44" s="19"/>
      <c r="E44" s="97" t="s">
        <v>63</v>
      </c>
      <c r="F44" s="19"/>
      <c r="G44" s="19"/>
    </row>
    <row r="45" spans="1:7">
      <c r="B45" s="19"/>
      <c r="C45" s="19"/>
      <c r="D45" s="19"/>
      <c r="E45" s="19"/>
      <c r="F45" s="19"/>
      <c r="G45" s="19"/>
    </row>
    <row r="46" spans="1:7">
      <c r="B46" s="19"/>
      <c r="C46" s="19"/>
      <c r="D46" s="19"/>
      <c r="E46" s="19"/>
      <c r="F46" s="19"/>
      <c r="G46" s="19"/>
    </row>
    <row r="47" spans="1:7">
      <c r="B47" s="19"/>
      <c r="C47" s="19"/>
      <c r="D47" s="19"/>
      <c r="E47" s="19"/>
      <c r="F47" s="19"/>
      <c r="G47" s="19"/>
    </row>
    <row r="48" spans="1:7">
      <c r="B48" s="19"/>
      <c r="C48" s="19"/>
      <c r="D48" s="19"/>
      <c r="E48" s="19"/>
      <c r="F48" s="19"/>
      <c r="G48" s="19"/>
    </row>
    <row r="49" spans="2:7">
      <c r="B49" s="19"/>
      <c r="C49" s="19"/>
      <c r="D49" s="19"/>
      <c r="E49" s="19"/>
      <c r="F49" s="19"/>
      <c r="G49" s="19"/>
    </row>
    <row r="50" spans="2:7">
      <c r="B50" s="19"/>
      <c r="C50" s="19"/>
      <c r="D50" s="19"/>
      <c r="E50" s="19"/>
      <c r="F50" s="19"/>
      <c r="G50" s="19"/>
    </row>
  </sheetData>
  <mergeCells count="4">
    <mergeCell ref="A5:F5"/>
    <mergeCell ref="A7:F7"/>
    <mergeCell ref="A9:F9"/>
    <mergeCell ref="A10:F10"/>
  </mergeCells>
  <phoneticPr fontId="23" type="noConversion"/>
  <printOptions horizontalCentered="1"/>
  <pageMargins left="0.5" right="0.5" top="0.75" bottom="0.5" header="0.5" footer="0.5"/>
  <pageSetup orientation="landscape" horizontalDpi="4294967292" verticalDpi="4294967292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H39"/>
  <sheetViews>
    <sheetView showGridLines="0" zoomScaleNormal="100" workbookViewId="0">
      <selection activeCell="B19" sqref="B19"/>
    </sheetView>
  </sheetViews>
  <sheetFormatPr defaultRowHeight="12.75"/>
  <cols>
    <col min="1" max="1" width="14" customWidth="1"/>
    <col min="2" max="2" width="49.5703125" customWidth="1"/>
    <col min="3" max="3" width="15.42578125" customWidth="1"/>
    <col min="4" max="4" width="22" customWidth="1"/>
    <col min="5" max="5" width="7.5703125" hidden="1" customWidth="1"/>
    <col min="6" max="7" width="9.42578125" hidden="1" customWidth="1"/>
    <col min="8" max="8" width="18" customWidth="1"/>
  </cols>
  <sheetData>
    <row r="1" spans="1:8" ht="19.5">
      <c r="A1" s="100" t="s">
        <v>0</v>
      </c>
      <c r="B1" s="100"/>
      <c r="C1" s="101"/>
      <c r="D1" s="100" t="s">
        <v>64</v>
      </c>
    </row>
    <row r="2" spans="1:8" ht="8.25" customHeight="1">
      <c r="E2" s="3"/>
      <c r="F2" s="103"/>
    </row>
    <row r="5" spans="1:8">
      <c r="A5" s="1156" t="s">
        <v>2</v>
      </c>
      <c r="B5" s="1156"/>
      <c r="C5" s="1156"/>
      <c r="D5" s="1156"/>
      <c r="E5" s="1156"/>
      <c r="F5" s="1156"/>
      <c r="G5" s="1156"/>
      <c r="H5" s="1156"/>
    </row>
    <row r="6" spans="1:8">
      <c r="A6" s="680"/>
      <c r="B6" s="680"/>
      <c r="C6" s="680"/>
      <c r="D6" s="680"/>
      <c r="E6" s="680"/>
      <c r="F6" s="680"/>
      <c r="G6" s="680"/>
      <c r="H6" s="680"/>
    </row>
    <row r="7" spans="1:8">
      <c r="A7" s="1158" t="s">
        <v>65</v>
      </c>
      <c r="B7" s="1158"/>
      <c r="C7" s="1158"/>
      <c r="D7" s="1158"/>
      <c r="E7" s="1158"/>
      <c r="F7" s="1158"/>
      <c r="G7" s="1158"/>
      <c r="H7" s="1158"/>
    </row>
    <row r="8" spans="1:8" ht="9.75" customHeight="1"/>
    <row r="9" spans="1:8">
      <c r="A9" s="1158" t="s">
        <v>66</v>
      </c>
      <c r="B9" s="1158"/>
      <c r="C9" s="1158"/>
      <c r="D9" s="1158"/>
      <c r="E9" s="1158"/>
      <c r="F9" s="1158"/>
      <c r="G9" s="1158"/>
      <c r="H9" s="1158"/>
    </row>
    <row r="10" spans="1:8" ht="18.75" customHeight="1"/>
    <row r="11" spans="1:8" ht="6" customHeight="1"/>
    <row r="12" spans="1:8" ht="21.75" customHeight="1" thickBot="1">
      <c r="A12" s="66"/>
      <c r="B12" s="59" t="s">
        <v>67</v>
      </c>
      <c r="C12" s="59"/>
      <c r="D12" s="66" t="s">
        <v>68</v>
      </c>
      <c r="G12" t="s">
        <v>62</v>
      </c>
    </row>
    <row r="13" spans="1:8" ht="18" customHeight="1">
      <c r="B13" s="68"/>
      <c r="C13" s="2"/>
      <c r="D13" s="32"/>
    </row>
    <row r="14" spans="1:8" ht="18" customHeight="1">
      <c r="B14" s="67"/>
      <c r="C14" s="3"/>
      <c r="D14" s="33"/>
    </row>
    <row r="15" spans="1:8" ht="18" customHeight="1">
      <c r="B15" s="67"/>
      <c r="C15" s="3"/>
      <c r="D15" s="33"/>
    </row>
    <row r="16" spans="1:8" ht="18" customHeight="1">
      <c r="B16" s="67"/>
      <c r="C16" s="3"/>
      <c r="D16" s="33"/>
    </row>
    <row r="17" spans="1:8" ht="18" customHeight="1">
      <c r="B17" s="67"/>
      <c r="C17" s="3"/>
      <c r="D17" s="33"/>
    </row>
    <row r="18" spans="1:8" ht="18" customHeight="1">
      <c r="B18" s="67"/>
      <c r="C18" s="3"/>
      <c r="D18" s="33"/>
    </row>
    <row r="19" spans="1:8" ht="18" customHeight="1">
      <c r="B19" s="67"/>
      <c r="C19" s="3"/>
      <c r="D19" s="33"/>
    </row>
    <row r="20" spans="1:8" ht="18" customHeight="1">
      <c r="B20" s="67"/>
      <c r="C20" s="3"/>
      <c r="D20" s="33"/>
    </row>
    <row r="21" spans="1:8" ht="18" customHeight="1">
      <c r="B21" s="67"/>
      <c r="C21" s="3"/>
      <c r="D21" s="33"/>
    </row>
    <row r="22" spans="1:8" ht="18" customHeight="1">
      <c r="B22" s="67"/>
      <c r="C22" s="3"/>
      <c r="D22" s="33"/>
    </row>
    <row r="23" spans="1:8" ht="18" customHeight="1">
      <c r="B23" s="67"/>
      <c r="C23" s="3"/>
      <c r="D23" s="33"/>
    </row>
    <row r="24" spans="1:8" ht="18" customHeight="1">
      <c r="B24" s="67"/>
      <c r="C24" s="3"/>
      <c r="D24" s="33"/>
    </row>
    <row r="25" spans="1:8" ht="18" customHeight="1">
      <c r="B25" s="67"/>
      <c r="C25" s="3"/>
      <c r="D25" s="33"/>
    </row>
    <row r="26" spans="1:8" ht="20.25" customHeight="1" thickBot="1">
      <c r="B26" s="69" t="s">
        <v>69</v>
      </c>
      <c r="C26" s="69"/>
      <c r="D26" s="27">
        <f>SUM(D13:D25)</f>
        <v>0</v>
      </c>
    </row>
    <row r="27" spans="1:8" ht="13.5" thickTop="1"/>
    <row r="28" spans="1:8">
      <c r="A28" t="s">
        <v>22</v>
      </c>
    </row>
    <row r="31" spans="1:8">
      <c r="A31" s="95"/>
      <c r="H31" s="96"/>
    </row>
    <row r="32" spans="1:8">
      <c r="A32" s="2"/>
      <c r="B32" s="2"/>
      <c r="C32" s="2"/>
      <c r="D32" s="2"/>
      <c r="E32" s="2"/>
      <c r="F32" s="2"/>
      <c r="G32" s="2"/>
      <c r="H32" s="2"/>
    </row>
    <row r="33" spans="1:7">
      <c r="A33" s="97">
        <v>11</v>
      </c>
      <c r="D33" s="97" t="s">
        <v>70</v>
      </c>
    </row>
    <row r="34" spans="1:7" ht="6.75" customHeight="1"/>
    <row r="35" spans="1:7" ht="9.75" customHeight="1"/>
    <row r="39" spans="1:7">
      <c r="D39" s="97"/>
      <c r="E39" s="19"/>
      <c r="F39" s="19"/>
      <c r="G39" t="s">
        <v>71</v>
      </c>
    </row>
  </sheetData>
  <mergeCells count="3">
    <mergeCell ref="A5:H5"/>
    <mergeCell ref="A7:H7"/>
    <mergeCell ref="A9:H9"/>
  </mergeCells>
  <phoneticPr fontId="23" type="noConversion"/>
  <printOptions horizontalCentered="1"/>
  <pageMargins left="0.34" right="0.78" top="0.79" bottom="0.5" header="0.5" footer="0.5"/>
  <pageSetup orientation="landscape" horizontalDpi="4294967292" verticalDpi="4294967292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G39"/>
  <sheetViews>
    <sheetView showGridLines="0" zoomScaleNormal="100" workbookViewId="0">
      <selection activeCell="C22" sqref="C22"/>
    </sheetView>
  </sheetViews>
  <sheetFormatPr defaultRowHeight="12.75"/>
  <cols>
    <col min="1" max="1" width="28" customWidth="1"/>
    <col min="2" max="2" width="13" customWidth="1"/>
    <col min="3" max="3" width="3.42578125" customWidth="1"/>
    <col min="4" max="4" width="46.5703125" customWidth="1"/>
    <col min="5" max="5" width="7" customWidth="1"/>
    <col min="7" max="7" width="13.5703125" customWidth="1"/>
  </cols>
  <sheetData>
    <row r="1" spans="1:7" ht="19.5">
      <c r="A1" s="100" t="s">
        <v>72</v>
      </c>
      <c r="B1" s="100"/>
      <c r="C1" s="101"/>
      <c r="D1" s="107"/>
    </row>
    <row r="2" spans="1:7" ht="9" customHeight="1"/>
    <row r="3" spans="1:7" ht="18.75" customHeight="1"/>
    <row r="4" spans="1:7" ht="15.75">
      <c r="A4" s="1155" t="s">
        <v>2</v>
      </c>
      <c r="B4" s="1155"/>
      <c r="C4" s="1155"/>
      <c r="D4" s="1155"/>
    </row>
    <row r="5" spans="1:7" ht="9.75" customHeight="1">
      <c r="A5" s="679"/>
      <c r="B5" s="679"/>
      <c r="C5" s="679"/>
      <c r="D5" s="679"/>
      <c r="E5" s="679"/>
      <c r="F5" s="679"/>
      <c r="G5" s="679"/>
    </row>
    <row r="6" spans="1:7">
      <c r="A6" s="1156" t="s">
        <v>73</v>
      </c>
      <c r="B6" s="1156"/>
      <c r="C6" s="1156"/>
      <c r="D6" s="1156"/>
    </row>
    <row r="7" spans="1:7" ht="9" customHeight="1"/>
    <row r="8" spans="1:7">
      <c r="A8" s="1157" t="s">
        <v>74</v>
      </c>
      <c r="B8" s="1158"/>
      <c r="C8" s="1158"/>
      <c r="D8" s="1158"/>
    </row>
    <row r="9" spans="1:7">
      <c r="A9" s="1170">
        <f>'Pet-cash'!$A$11</f>
        <v>40816</v>
      </c>
      <c r="B9" s="1170"/>
      <c r="C9" s="1170"/>
      <c r="D9" s="1170"/>
      <c r="E9" s="209"/>
      <c r="F9" s="209"/>
    </row>
    <row r="11" spans="1:7">
      <c r="A11" s="1171" t="s">
        <v>75</v>
      </c>
      <c r="B11" s="1171"/>
      <c r="C11" s="1171"/>
      <c r="D11" s="1171"/>
    </row>
    <row r="12" spans="1:7">
      <c r="A12" s="684" t="s">
        <v>76</v>
      </c>
    </row>
    <row r="13" spans="1:7" ht="20.25" customHeight="1"/>
    <row r="14" spans="1:7" ht="20.25" customHeight="1"/>
    <row r="15" spans="1:7" ht="25.5">
      <c r="A15" s="7" t="s">
        <v>77</v>
      </c>
      <c r="B15" s="61" t="s">
        <v>78</v>
      </c>
      <c r="C15" s="2"/>
      <c r="D15" s="25" t="s">
        <v>79</v>
      </c>
    </row>
    <row r="16" spans="1:7" ht="20.25" customHeight="1">
      <c r="A16" t="s">
        <v>80</v>
      </c>
      <c r="B16" s="26">
        <v>3673.12</v>
      </c>
      <c r="D16" s="333" t="s">
        <v>81</v>
      </c>
    </row>
    <row r="17" spans="1:4" ht="20.25" customHeight="1">
      <c r="A17" t="s">
        <v>82</v>
      </c>
      <c r="B17" s="26">
        <v>19043.71</v>
      </c>
      <c r="D17" s="333" t="s">
        <v>83</v>
      </c>
    </row>
    <row r="18" spans="1:4" ht="20.25" customHeight="1">
      <c r="A18" t="s">
        <v>84</v>
      </c>
      <c r="B18" s="26">
        <v>1767.21</v>
      </c>
      <c r="D18" s="333" t="s">
        <v>83</v>
      </c>
    </row>
    <row r="19" spans="1:4" ht="20.25" customHeight="1">
      <c r="B19" s="26"/>
    </row>
    <row r="20" spans="1:4" ht="20.25" customHeight="1" thickBot="1">
      <c r="A20" s="1" t="s">
        <v>85</v>
      </c>
      <c r="B20" s="27">
        <f>SUM(B16:B19)</f>
        <v>24484.039999999997</v>
      </c>
    </row>
    <row r="21" spans="1:4" ht="20.25" customHeight="1" thickTop="1"/>
    <row r="22" spans="1:4" ht="20.25" customHeight="1"/>
    <row r="23" spans="1:4" ht="20.25" customHeight="1">
      <c r="A23" s="333"/>
    </row>
    <row r="24" spans="1:4" ht="18.75" customHeight="1"/>
    <row r="25" spans="1:4">
      <c r="A25" s="66"/>
      <c r="B25" s="119"/>
      <c r="D25" s="44"/>
    </row>
    <row r="26" spans="1:4" ht="20.25" customHeight="1">
      <c r="B26" s="26"/>
    </row>
    <row r="27" spans="1:4" ht="20.25" customHeight="1">
      <c r="B27" s="26"/>
    </row>
    <row r="28" spans="1:4" ht="20.25" customHeight="1">
      <c r="B28" s="26"/>
    </row>
    <row r="29" spans="1:4" ht="20.25" customHeight="1">
      <c r="B29" s="26"/>
    </row>
    <row r="30" spans="1:4" ht="20.25" customHeight="1">
      <c r="A30" s="1"/>
    </row>
    <row r="37" spans="1:4" ht="18" customHeight="1"/>
    <row r="38" spans="1:4">
      <c r="A38" s="2"/>
      <c r="B38" s="2"/>
      <c r="C38" s="2"/>
      <c r="D38" s="2"/>
    </row>
    <row r="39" spans="1:4">
      <c r="A39" s="97">
        <v>12</v>
      </c>
      <c r="D39" s="97" t="s">
        <v>86</v>
      </c>
    </row>
  </sheetData>
  <mergeCells count="5">
    <mergeCell ref="A11:D11"/>
    <mergeCell ref="A6:D6"/>
    <mergeCell ref="A8:D8"/>
    <mergeCell ref="A4:D4"/>
    <mergeCell ref="A9:D9"/>
  </mergeCells>
  <phoneticPr fontId="23" type="noConversion"/>
  <printOptions horizontalCentered="1"/>
  <pageMargins left="0.75" right="0.75" top="0.6" bottom="0.5" header="0.5" footer="0.5"/>
  <pageSetup orientation="portrait"/>
  <headerFooter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1:H39"/>
  <sheetViews>
    <sheetView showGridLines="0" zoomScaleNormal="100" workbookViewId="0">
      <selection activeCell="B16" sqref="B16"/>
    </sheetView>
  </sheetViews>
  <sheetFormatPr defaultRowHeight="12.75"/>
  <cols>
    <col min="1" max="1" width="44.42578125" customWidth="1"/>
    <col min="2" max="2" width="18" customWidth="1"/>
    <col min="3" max="3" width="10.5703125" customWidth="1"/>
    <col min="4" max="4" width="42.5703125" customWidth="1"/>
    <col min="5" max="5" width="15.5703125" customWidth="1"/>
    <col min="6" max="6" width="7.5703125" hidden="1" customWidth="1"/>
    <col min="7" max="8" width="9.42578125" hidden="1" customWidth="1"/>
    <col min="9" max="9" width="22" customWidth="1"/>
  </cols>
  <sheetData>
    <row r="1" spans="1:7" ht="19.5">
      <c r="A1" s="100" t="s">
        <v>0</v>
      </c>
      <c r="B1" s="100"/>
      <c r="C1" s="101"/>
      <c r="D1" s="100" t="s">
        <v>87</v>
      </c>
    </row>
    <row r="2" spans="1:7" ht="9" customHeight="1"/>
    <row r="3" spans="1:7" ht="18.75" customHeight="1"/>
    <row r="5" spans="1:7" ht="15.75">
      <c r="A5" s="1155" t="s">
        <v>2</v>
      </c>
      <c r="B5" s="1155"/>
      <c r="C5" s="1155"/>
      <c r="D5" s="1155"/>
      <c r="E5" s="266"/>
      <c r="F5" s="266"/>
      <c r="G5" s="266"/>
    </row>
    <row r="6" spans="1:7">
      <c r="A6" s="681"/>
      <c r="B6" s="681"/>
      <c r="C6" s="681"/>
      <c r="D6" s="681"/>
    </row>
    <row r="7" spans="1:7">
      <c r="A7" s="1156" t="s">
        <v>88</v>
      </c>
      <c r="B7" s="1156"/>
      <c r="C7" s="1156"/>
      <c r="D7" s="1156"/>
    </row>
    <row r="8" spans="1:7" ht="8.25" customHeight="1">
      <c r="A8" s="680"/>
      <c r="B8" s="680"/>
      <c r="C8" s="680"/>
      <c r="D8" s="680"/>
    </row>
    <row r="9" spans="1:7">
      <c r="A9" s="1157" t="s">
        <v>89</v>
      </c>
      <c r="B9" s="1158"/>
      <c r="C9" s="1158"/>
      <c r="D9" s="1158"/>
    </row>
    <row r="10" spans="1:7" ht="20.25" customHeight="1">
      <c r="A10" s="1170">
        <f>'Pet-cash'!$A$11</f>
        <v>40816</v>
      </c>
      <c r="B10" s="1170"/>
      <c r="C10" s="1170"/>
      <c r="D10" s="1170"/>
    </row>
    <row r="11" spans="1:7" ht="18.75" customHeight="1"/>
    <row r="12" spans="1:7">
      <c r="A12" s="7" t="s">
        <v>90</v>
      </c>
      <c r="B12" s="7" t="s">
        <v>91</v>
      </c>
      <c r="C12" s="2"/>
      <c r="D12" s="7" t="s">
        <v>92</v>
      </c>
    </row>
    <row r="13" spans="1:7" ht="18" customHeight="1">
      <c r="A13" t="s">
        <v>93</v>
      </c>
      <c r="B13" s="26" t="s">
        <v>94</v>
      </c>
      <c r="D13" t="s">
        <v>95</v>
      </c>
    </row>
    <row r="14" spans="1:7" ht="18" customHeight="1">
      <c r="B14" s="26"/>
    </row>
    <row r="15" spans="1:7" ht="18" customHeight="1">
      <c r="B15" s="26"/>
    </row>
    <row r="16" spans="1:7" ht="18" customHeight="1">
      <c r="B16" s="26"/>
    </row>
    <row r="17" spans="1:4" ht="18" customHeight="1">
      <c r="B17" s="26"/>
    </row>
    <row r="18" spans="1:4" ht="18" customHeight="1">
      <c r="B18" s="26"/>
    </row>
    <row r="19" spans="1:4" ht="18" customHeight="1">
      <c r="B19" s="26"/>
    </row>
    <row r="20" spans="1:4" ht="18" customHeight="1">
      <c r="B20" s="26"/>
    </row>
    <row r="21" spans="1:4" ht="18" customHeight="1">
      <c r="B21" s="26"/>
    </row>
    <row r="22" spans="1:4" ht="18" customHeight="1">
      <c r="B22" s="26"/>
    </row>
    <row r="23" spans="1:4" ht="18" customHeight="1">
      <c r="B23" s="26"/>
    </row>
    <row r="24" spans="1:4" ht="19.5" customHeight="1" thickBot="1">
      <c r="A24" s="1" t="s">
        <v>96</v>
      </c>
      <c r="B24" s="27">
        <f>SUM(B13:B23)</f>
        <v>0</v>
      </c>
    </row>
    <row r="25" spans="1:4" ht="13.5" thickTop="1"/>
    <row r="26" spans="1:4">
      <c r="A26" t="s">
        <v>97</v>
      </c>
    </row>
    <row r="27" spans="1:4">
      <c r="A27" t="s">
        <v>98</v>
      </c>
    </row>
    <row r="28" spans="1:4">
      <c r="A28" t="s">
        <v>99</v>
      </c>
    </row>
    <row r="32" spans="1:4">
      <c r="A32" s="2"/>
      <c r="B32" s="2"/>
      <c r="C32" s="2"/>
      <c r="D32" s="2"/>
    </row>
    <row r="33" spans="1:7">
      <c r="A33" s="97">
        <v>13</v>
      </c>
      <c r="D33" s="97" t="s">
        <v>100</v>
      </c>
    </row>
    <row r="35" spans="1:7">
      <c r="D35" t="s">
        <v>22</v>
      </c>
    </row>
    <row r="39" spans="1:7">
      <c r="E39" s="19"/>
      <c r="F39" s="19"/>
      <c r="G39" t="s">
        <v>71</v>
      </c>
    </row>
  </sheetData>
  <mergeCells count="4">
    <mergeCell ref="A5:D5"/>
    <mergeCell ref="A7:D7"/>
    <mergeCell ref="A9:D9"/>
    <mergeCell ref="A10:D10"/>
  </mergeCells>
  <phoneticPr fontId="23" type="noConversion"/>
  <printOptions horizontalCentered="1"/>
  <pageMargins left="0.75" right="0.75" top="0.75" bottom="0.5" header="0.5" footer="0.5"/>
  <pageSetup orientation="landscape" horizontalDpi="4294967292" verticalDpi="4294967292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I36"/>
  <sheetViews>
    <sheetView showGridLines="0" zoomScaleNormal="100" workbookViewId="0">
      <selection activeCell="B19" sqref="B19"/>
    </sheetView>
  </sheetViews>
  <sheetFormatPr defaultRowHeight="12.75"/>
  <cols>
    <col min="1" max="1" width="44.42578125" customWidth="1"/>
    <col min="2" max="2" width="17.5703125" customWidth="1"/>
    <col min="3" max="3" width="42.5703125" hidden="1" customWidth="1"/>
    <col min="4" max="4" width="49.5703125" customWidth="1"/>
    <col min="5" max="5" width="23.42578125" customWidth="1"/>
    <col min="6" max="6" width="15.5703125" customWidth="1"/>
    <col min="7" max="7" width="7.5703125" hidden="1" customWidth="1"/>
    <col min="8" max="9" width="9.42578125" hidden="1" customWidth="1"/>
    <col min="10" max="10" width="22" customWidth="1"/>
  </cols>
  <sheetData>
    <row r="1" spans="1:9" ht="19.5">
      <c r="A1" s="100" t="s">
        <v>0</v>
      </c>
      <c r="B1" s="100"/>
      <c r="C1" s="101"/>
      <c r="D1" s="100" t="s">
        <v>101</v>
      </c>
    </row>
    <row r="2" spans="1:9" ht="9" customHeight="1"/>
    <row r="3" spans="1:9" ht="18.75" customHeight="1"/>
    <row r="5" spans="1:9" ht="15.75">
      <c r="A5" s="1155" t="s">
        <v>2</v>
      </c>
      <c r="B5" s="1155"/>
      <c r="C5" s="1155"/>
      <c r="D5" s="1155"/>
    </row>
    <row r="6" spans="1:9">
      <c r="A6" s="681"/>
      <c r="B6" s="681"/>
      <c r="C6" s="681"/>
      <c r="D6" s="681"/>
    </row>
    <row r="7" spans="1:9">
      <c r="A7" s="1156" t="s">
        <v>102</v>
      </c>
      <c r="B7" s="1156"/>
      <c r="C7" s="1156"/>
      <c r="D7" s="1156"/>
    </row>
    <row r="8" spans="1:9" ht="9" customHeight="1">
      <c r="A8" s="680"/>
      <c r="B8" s="680"/>
      <c r="C8" s="680"/>
      <c r="D8" s="680"/>
    </row>
    <row r="9" spans="1:9">
      <c r="A9" s="1172" t="s">
        <v>103</v>
      </c>
      <c r="B9" s="1158"/>
      <c r="C9" s="1158"/>
      <c r="D9" s="1158"/>
    </row>
    <row r="10" spans="1:9" ht="20.25" customHeight="1">
      <c r="A10" s="1170">
        <f>'Pet-cash'!$A$11</f>
        <v>40816</v>
      </c>
      <c r="B10" s="1170"/>
      <c r="C10" s="1170"/>
      <c r="D10" s="1170"/>
      <c r="E10" s="683"/>
      <c r="F10" s="683"/>
      <c r="G10" s="683"/>
      <c r="H10" s="683"/>
      <c r="I10" s="683"/>
    </row>
    <row r="11" spans="1:9" ht="18.75" customHeight="1"/>
    <row r="12" spans="1:9">
      <c r="A12" s="7" t="s">
        <v>104</v>
      </c>
      <c r="B12" s="7" t="s">
        <v>105</v>
      </c>
      <c r="C12" s="2"/>
      <c r="D12" s="7" t="s">
        <v>10</v>
      </c>
    </row>
    <row r="13" spans="1:9" ht="17.25" customHeight="1">
      <c r="A13" t="s">
        <v>106</v>
      </c>
      <c r="B13" s="132">
        <v>2214</v>
      </c>
      <c r="D13" s="684" t="s">
        <v>107</v>
      </c>
    </row>
    <row r="14" spans="1:9" ht="17.25" customHeight="1">
      <c r="A14" t="s">
        <v>108</v>
      </c>
      <c r="B14" s="132">
        <v>2214</v>
      </c>
      <c r="D14" s="684" t="s">
        <v>107</v>
      </c>
    </row>
    <row r="15" spans="1:9" ht="17.25" customHeight="1">
      <c r="A15" t="s">
        <v>109</v>
      </c>
      <c r="B15" s="132">
        <v>2214</v>
      </c>
      <c r="D15" s="684" t="s">
        <v>107</v>
      </c>
    </row>
    <row r="16" spans="1:9" ht="17.25" customHeight="1">
      <c r="A16" t="s">
        <v>110</v>
      </c>
      <c r="B16" s="132">
        <v>10000</v>
      </c>
      <c r="D16" s="684" t="s">
        <v>107</v>
      </c>
    </row>
    <row r="17" spans="1:4" ht="17.25" customHeight="1">
      <c r="A17" t="s">
        <v>111</v>
      </c>
      <c r="B17" s="132">
        <v>2214</v>
      </c>
      <c r="D17" s="684" t="s">
        <v>107</v>
      </c>
    </row>
    <row r="18" spans="1:4" ht="17.25" customHeight="1">
      <c r="A18" t="s">
        <v>112</v>
      </c>
      <c r="B18" s="132">
        <v>2214</v>
      </c>
      <c r="D18" s="684" t="s">
        <v>107</v>
      </c>
    </row>
    <row r="19" spans="1:4" ht="16.5" customHeight="1">
      <c r="B19" s="132"/>
    </row>
    <row r="20" spans="1:4" ht="17.25" customHeight="1">
      <c r="B20" s="26"/>
    </row>
    <row r="21" spans="1:4" ht="17.25" customHeight="1">
      <c r="B21" s="26"/>
    </row>
    <row r="22" spans="1:4" ht="17.25" customHeight="1">
      <c r="B22" s="26"/>
    </row>
    <row r="23" spans="1:4" ht="17.25" customHeight="1">
      <c r="B23" s="26"/>
    </row>
    <row r="24" spans="1:4" ht="17.25" customHeight="1">
      <c r="B24" s="26"/>
    </row>
    <row r="25" spans="1:4" ht="20.25" customHeight="1" thickBot="1">
      <c r="A25" s="1" t="s">
        <v>113</v>
      </c>
      <c r="B25" s="27">
        <f>SUM(B13:B24)</f>
        <v>21070</v>
      </c>
    </row>
    <row r="26" spans="1:4" ht="13.5" thickTop="1"/>
    <row r="27" spans="1:4">
      <c r="A27" s="95"/>
      <c r="D27" s="96"/>
    </row>
    <row r="28" spans="1:4">
      <c r="A28" s="2"/>
      <c r="B28" s="2"/>
      <c r="C28" s="2"/>
      <c r="D28" s="2"/>
    </row>
    <row r="29" spans="1:4">
      <c r="A29" s="97">
        <v>16</v>
      </c>
      <c r="D29" s="97" t="s">
        <v>114</v>
      </c>
    </row>
    <row r="36" spans="5:7">
      <c r="E36" s="19"/>
      <c r="F36" s="19"/>
      <c r="G36" t="s">
        <v>71</v>
      </c>
    </row>
  </sheetData>
  <mergeCells count="4">
    <mergeCell ref="A5:D5"/>
    <mergeCell ref="A7:D7"/>
    <mergeCell ref="A9:D9"/>
    <mergeCell ref="A10:D10"/>
  </mergeCells>
  <phoneticPr fontId="23" type="noConversion"/>
  <printOptions horizontalCentered="1"/>
  <pageMargins left="0.5" right="0.5" top="0.75" bottom="0.5" header="0.5" footer="0.5"/>
  <pageSetup orientation="landscape" horizontalDpi="4294967292" verticalDpi="4294967292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/>
  <dimension ref="A1:P37"/>
  <sheetViews>
    <sheetView showGridLines="0" zoomScaleNormal="100" workbookViewId="0">
      <selection activeCell="B19" sqref="B19"/>
    </sheetView>
  </sheetViews>
  <sheetFormatPr defaultRowHeight="12.75"/>
  <cols>
    <col min="1" max="2" width="19.42578125" customWidth="1"/>
    <col min="3" max="3" width="9.5703125" customWidth="1"/>
    <col min="4" max="4" width="18" customWidth="1"/>
    <col min="5" max="5" width="26.42578125" hidden="1" customWidth="1"/>
    <col min="6" max="8" width="13.42578125" customWidth="1"/>
    <col min="9" max="9" width="50.42578125" customWidth="1"/>
    <col min="10" max="10" width="7.5703125" hidden="1" customWidth="1"/>
    <col min="11" max="12" width="9.42578125" hidden="1" customWidth="1"/>
    <col min="13" max="13" width="22" customWidth="1"/>
  </cols>
  <sheetData>
    <row r="1" spans="1:16" ht="19.5">
      <c r="A1" s="100" t="s">
        <v>0</v>
      </c>
      <c r="B1" s="100"/>
      <c r="C1" s="100"/>
      <c r="D1" s="100"/>
      <c r="E1" s="101"/>
      <c r="F1" s="101"/>
      <c r="G1" s="101"/>
      <c r="H1" s="101"/>
      <c r="I1" s="100" t="s">
        <v>115</v>
      </c>
    </row>
    <row r="2" spans="1:16" ht="9" customHeight="1"/>
    <row r="3" spans="1:16" ht="18.75" customHeight="1"/>
    <row r="5" spans="1:16" ht="15.75">
      <c r="A5" s="1155" t="s">
        <v>2</v>
      </c>
      <c r="B5" s="1155"/>
      <c r="C5" s="1155"/>
      <c r="D5" s="1155"/>
      <c r="E5" s="1155"/>
      <c r="F5" s="1155"/>
      <c r="G5" s="1155"/>
      <c r="H5" s="1155"/>
      <c r="I5" s="1155"/>
    </row>
    <row r="6" spans="1:16">
      <c r="A6" s="681"/>
      <c r="B6" s="681"/>
      <c r="C6" s="681"/>
      <c r="D6" s="681"/>
      <c r="E6" s="681"/>
      <c r="F6" s="681"/>
      <c r="G6" s="681"/>
      <c r="H6" s="681"/>
      <c r="I6" s="681"/>
    </row>
    <row r="7" spans="1:16">
      <c r="A7" s="1156" t="s">
        <v>116</v>
      </c>
      <c r="B7" s="1156"/>
      <c r="C7" s="1156"/>
      <c r="D7" s="1156"/>
      <c r="E7" s="1156"/>
      <c r="F7" s="1156"/>
      <c r="G7" s="1156"/>
      <c r="H7" s="1156"/>
      <c r="I7" s="1156"/>
    </row>
    <row r="8" spans="1:16" ht="7.5" customHeight="1">
      <c r="A8" s="680"/>
      <c r="B8" s="680"/>
      <c r="C8" s="680"/>
      <c r="D8" s="680"/>
      <c r="E8" s="680"/>
      <c r="F8" s="680"/>
      <c r="G8" s="680"/>
      <c r="H8" s="680"/>
      <c r="I8" s="680"/>
    </row>
    <row r="9" spans="1:16">
      <c r="A9" s="1173" t="s">
        <v>117</v>
      </c>
      <c r="B9" s="1173"/>
      <c r="C9" s="1173"/>
      <c r="D9" s="1173"/>
      <c r="E9" s="1173"/>
      <c r="F9" s="1173"/>
      <c r="G9" s="1173"/>
      <c r="H9" s="1173"/>
      <c r="I9" s="1173"/>
      <c r="J9" s="1"/>
      <c r="K9" s="1"/>
      <c r="L9" s="1"/>
      <c r="M9" s="1"/>
      <c r="N9" s="1"/>
      <c r="O9" s="1"/>
      <c r="P9" s="1"/>
    </row>
    <row r="10" spans="1:16" ht="20.25" customHeight="1">
      <c r="A10" s="1170">
        <f>'Pet-cash'!$A$11</f>
        <v>40816</v>
      </c>
      <c r="B10" s="1170"/>
      <c r="C10" s="1170"/>
      <c r="D10" s="1170"/>
      <c r="E10" s="1170"/>
      <c r="F10" s="1170"/>
      <c r="G10" s="1170"/>
      <c r="H10" s="1170"/>
      <c r="I10" s="1170"/>
      <c r="J10" s="209"/>
      <c r="K10" s="209"/>
      <c r="L10" s="209"/>
      <c r="M10" s="209"/>
      <c r="N10" s="209"/>
    </row>
    <row r="11" spans="1:16" ht="18.75" customHeight="1">
      <c r="F11" s="66"/>
    </row>
    <row r="12" spans="1:16">
      <c r="A12" s="7" t="s">
        <v>118</v>
      </c>
      <c r="B12" s="7" t="s">
        <v>119</v>
      </c>
      <c r="C12" s="7" t="s">
        <v>120</v>
      </c>
      <c r="D12" s="7" t="s">
        <v>121</v>
      </c>
      <c r="E12" s="2"/>
      <c r="F12" s="7" t="s">
        <v>122</v>
      </c>
      <c r="G12" s="7" t="s">
        <v>123</v>
      </c>
      <c r="H12" s="7" t="s">
        <v>124</v>
      </c>
      <c r="I12" s="7" t="s">
        <v>10</v>
      </c>
    </row>
    <row r="13" spans="1:16">
      <c r="D13" s="26"/>
      <c r="I13" s="184"/>
    </row>
    <row r="14" spans="1:16">
      <c r="A14" t="s">
        <v>125</v>
      </c>
      <c r="B14" t="s">
        <v>126</v>
      </c>
      <c r="C14">
        <v>633</v>
      </c>
      <c r="D14" s="26">
        <v>1089</v>
      </c>
      <c r="F14" s="276">
        <f>D14/C14*30</f>
        <v>51.611374407582943</v>
      </c>
      <c r="G14" s="276">
        <f>D14/C14*(8+30+31+31+30)</f>
        <v>223.64928909952607</v>
      </c>
      <c r="H14" s="276">
        <f>+D14-G14</f>
        <v>865.35071090047393</v>
      </c>
      <c r="I14" s="684" t="s">
        <v>127</v>
      </c>
    </row>
    <row r="15" spans="1:16">
      <c r="A15" t="s">
        <v>125</v>
      </c>
      <c r="B15" t="s">
        <v>128</v>
      </c>
      <c r="C15">
        <v>12</v>
      </c>
      <c r="D15" s="26">
        <v>46441</v>
      </c>
      <c r="F15" s="276">
        <f>+D15/12</f>
        <v>3870.0833333333335</v>
      </c>
      <c r="G15" s="276">
        <f>+F15*2</f>
        <v>7740.166666666667</v>
      </c>
      <c r="H15" s="276">
        <f>+D15-G15</f>
        <v>38700.833333333336</v>
      </c>
      <c r="I15" s="684" t="s">
        <v>129</v>
      </c>
    </row>
    <row r="16" spans="1:16">
      <c r="A16" t="s">
        <v>125</v>
      </c>
      <c r="B16" t="s">
        <v>128</v>
      </c>
      <c r="C16">
        <v>12</v>
      </c>
      <c r="D16" s="26">
        <v>8885</v>
      </c>
      <c r="F16" s="276">
        <f>+D16/12</f>
        <v>740.41666666666663</v>
      </c>
      <c r="G16" s="276">
        <f>+F16*2</f>
        <v>1480.8333333333333</v>
      </c>
      <c r="H16" s="276">
        <f>+D16-G16</f>
        <v>7404.166666666667</v>
      </c>
      <c r="I16" s="684" t="s">
        <v>130</v>
      </c>
    </row>
    <row r="17" spans="1:9">
      <c r="A17" t="s">
        <v>125</v>
      </c>
      <c r="B17" t="s">
        <v>128</v>
      </c>
      <c r="C17">
        <v>12</v>
      </c>
      <c r="D17" s="26">
        <v>3993</v>
      </c>
      <c r="F17" s="276">
        <f>+D17/12</f>
        <v>332.75</v>
      </c>
      <c r="G17" s="276">
        <f>+F17*2</f>
        <v>665.5</v>
      </c>
      <c r="H17" s="276">
        <f>+D17-G17</f>
        <v>3327.5</v>
      </c>
      <c r="I17" s="684" t="s">
        <v>131</v>
      </c>
    </row>
    <row r="18" spans="1:9">
      <c r="D18" s="26"/>
      <c r="I18" s="184"/>
    </row>
    <row r="19" spans="1:9">
      <c r="D19" s="26"/>
    </row>
    <row r="20" spans="1:9">
      <c r="D20" s="26"/>
    </row>
    <row r="21" spans="1:9">
      <c r="D21" s="26"/>
    </row>
    <row r="22" spans="1:9">
      <c r="D22" s="26"/>
    </row>
    <row r="23" spans="1:9">
      <c r="D23" s="26"/>
    </row>
    <row r="24" spans="1:9">
      <c r="D24" s="26"/>
    </row>
    <row r="25" spans="1:9">
      <c r="D25" s="26"/>
    </row>
    <row r="26" spans="1:9">
      <c r="D26" s="26"/>
    </row>
    <row r="27" spans="1:9">
      <c r="D27" s="26"/>
    </row>
    <row r="28" spans="1:9" ht="13.5" thickBot="1">
      <c r="A28" s="1" t="s">
        <v>113</v>
      </c>
      <c r="D28" s="26"/>
      <c r="H28" s="277">
        <f>SUM(H14:H27)</f>
        <v>50297.850710900471</v>
      </c>
    </row>
    <row r="29" spans="1:9" ht="13.5" thickTop="1"/>
    <row r="30" spans="1:9" ht="20.25" customHeight="1">
      <c r="A30" t="s">
        <v>22</v>
      </c>
    </row>
    <row r="34" spans="1:12">
      <c r="A34" s="104"/>
      <c r="B34" s="104"/>
      <c r="C34" s="104"/>
      <c r="D34" s="2"/>
      <c r="E34" s="2"/>
      <c r="F34" s="2"/>
      <c r="G34" s="2"/>
      <c r="H34" s="2"/>
      <c r="I34" s="105"/>
    </row>
    <row r="35" spans="1:12">
      <c r="A35" s="97">
        <v>18</v>
      </c>
      <c r="B35" s="97"/>
      <c r="C35" s="97"/>
      <c r="I35" s="97" t="s">
        <v>132</v>
      </c>
    </row>
    <row r="37" spans="1:12">
      <c r="J37" s="19"/>
      <c r="K37" s="19"/>
      <c r="L37" t="s">
        <v>71</v>
      </c>
    </row>
  </sheetData>
  <mergeCells count="4">
    <mergeCell ref="A5:I5"/>
    <mergeCell ref="A7:I7"/>
    <mergeCell ref="A9:I9"/>
    <mergeCell ref="A10:I10"/>
  </mergeCells>
  <phoneticPr fontId="23" type="noConversion"/>
  <printOptions horizontalCentered="1"/>
  <pageMargins left="0.75" right="0.75" top="0.75" bottom="0.5" header="0.5" footer="0.5"/>
  <pageSetup scale="85" orientation="landscape" horizontalDpi="4294967292" verticalDpi="4294967292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K38"/>
  <sheetViews>
    <sheetView showGridLines="0" zoomScaleNormal="100" workbookViewId="0">
      <selection activeCell="B19" sqref="B19"/>
    </sheetView>
  </sheetViews>
  <sheetFormatPr defaultRowHeight="12.75"/>
  <cols>
    <col min="1" max="1" width="44.42578125" customWidth="1"/>
    <col min="2" max="2" width="18" customWidth="1"/>
    <col min="3" max="3" width="26.42578125" hidden="1" customWidth="1"/>
    <col min="4" max="4" width="50.42578125" customWidth="1"/>
    <col min="5" max="5" width="7.5703125" hidden="1" customWidth="1"/>
    <col min="6" max="7" width="9.42578125" hidden="1" customWidth="1"/>
    <col min="8" max="8" width="22" customWidth="1"/>
  </cols>
  <sheetData>
    <row r="1" spans="1:11" ht="19.5">
      <c r="A1" s="100" t="s">
        <v>0</v>
      </c>
      <c r="B1" s="100"/>
      <c r="C1" s="101"/>
      <c r="D1" s="100" t="s">
        <v>115</v>
      </c>
    </row>
    <row r="2" spans="1:11" ht="9" customHeight="1"/>
    <row r="3" spans="1:11" ht="18.75" customHeight="1"/>
    <row r="5" spans="1:11" ht="15.75">
      <c r="A5" s="1155" t="s">
        <v>2</v>
      </c>
      <c r="B5" s="1155"/>
      <c r="C5" s="1155"/>
      <c r="D5" s="1155"/>
    </row>
    <row r="6" spans="1:11">
      <c r="A6" s="681"/>
      <c r="B6" s="681"/>
      <c r="C6" s="681"/>
      <c r="D6" s="681"/>
    </row>
    <row r="7" spans="1:11">
      <c r="A7" s="1156" t="s">
        <v>133</v>
      </c>
      <c r="B7" s="1156"/>
      <c r="C7" s="1156"/>
      <c r="D7" s="1156"/>
    </row>
    <row r="8" spans="1:11" ht="7.5" customHeight="1">
      <c r="A8" s="680"/>
      <c r="B8" s="680"/>
      <c r="C8" s="680"/>
      <c r="D8" s="680"/>
    </row>
    <row r="9" spans="1:11">
      <c r="A9" s="1173" t="s">
        <v>117</v>
      </c>
      <c r="B9" s="1173"/>
      <c r="C9" s="1173"/>
      <c r="D9" s="1173"/>
      <c r="E9" s="1"/>
      <c r="F9" s="1"/>
      <c r="G9" s="1"/>
      <c r="H9" s="1"/>
      <c r="I9" s="1"/>
      <c r="J9" s="1"/>
      <c r="K9" s="1"/>
    </row>
    <row r="10" spans="1:11" ht="20.25" customHeight="1">
      <c r="A10" s="1170">
        <f>'Pet-cash'!$A$11</f>
        <v>40816</v>
      </c>
      <c r="B10" s="1170"/>
      <c r="C10" s="1170"/>
      <c r="D10" s="1170"/>
      <c r="E10" s="209"/>
      <c r="F10" s="209"/>
      <c r="G10" s="209"/>
      <c r="H10" s="209"/>
      <c r="I10" s="209"/>
    </row>
    <row r="11" spans="1:11" ht="18.75" customHeight="1"/>
    <row r="12" spans="1:11">
      <c r="A12" s="7" t="s">
        <v>118</v>
      </c>
      <c r="B12" s="7" t="s">
        <v>105</v>
      </c>
      <c r="C12" s="2"/>
      <c r="D12" s="7" t="s">
        <v>10</v>
      </c>
    </row>
    <row r="13" spans="1:11">
      <c r="B13" s="26"/>
      <c r="D13" s="184"/>
    </row>
    <row r="14" spans="1:11">
      <c r="B14" s="26"/>
      <c r="D14" s="184"/>
    </row>
    <row r="15" spans="1:11">
      <c r="B15" s="26"/>
      <c r="D15" s="184"/>
    </row>
    <row r="16" spans="1:11">
      <c r="B16" s="26"/>
      <c r="D16" s="184"/>
    </row>
    <row r="17" spans="1:4">
      <c r="B17" s="26"/>
      <c r="D17" s="184"/>
    </row>
    <row r="18" spans="1:4">
      <c r="B18" s="26"/>
      <c r="D18" s="184"/>
    </row>
    <row r="19" spans="1:4">
      <c r="B19" s="26"/>
    </row>
    <row r="20" spans="1:4">
      <c r="B20" s="26"/>
    </row>
    <row r="21" spans="1:4">
      <c r="B21" s="26"/>
    </row>
    <row r="22" spans="1:4">
      <c r="B22" s="26"/>
    </row>
    <row r="23" spans="1:4">
      <c r="B23" s="26"/>
    </row>
    <row r="24" spans="1:4">
      <c r="B24" s="26"/>
    </row>
    <row r="25" spans="1:4">
      <c r="B25" s="26"/>
    </row>
    <row r="26" spans="1:4">
      <c r="B26" s="26"/>
    </row>
    <row r="27" spans="1:4">
      <c r="B27" s="26"/>
    </row>
    <row r="28" spans="1:4">
      <c r="B28" s="26"/>
    </row>
    <row r="29" spans="1:4" ht="13.5" thickBot="1">
      <c r="A29" s="1" t="s">
        <v>113</v>
      </c>
      <c r="B29" s="27">
        <f>SUM(B13:B28)</f>
        <v>0</v>
      </c>
    </row>
    <row r="30" spans="1:4" ht="13.5" thickTop="1"/>
    <row r="31" spans="1:4" ht="20.25" customHeight="1">
      <c r="A31" t="s">
        <v>22</v>
      </c>
    </row>
    <row r="35" spans="1:7">
      <c r="A35" s="104"/>
      <c r="B35" s="2"/>
      <c r="C35" s="2"/>
      <c r="D35" s="105"/>
    </row>
    <row r="36" spans="1:7">
      <c r="A36" s="97">
        <v>18</v>
      </c>
      <c r="D36" s="97" t="s">
        <v>132</v>
      </c>
    </row>
    <row r="38" spans="1:7">
      <c r="E38" s="19"/>
      <c r="F38" s="19"/>
      <c r="G38" t="s">
        <v>71</v>
      </c>
    </row>
  </sheetData>
  <mergeCells count="4">
    <mergeCell ref="A5:D5"/>
    <mergeCell ref="A7:D7"/>
    <mergeCell ref="A9:D9"/>
    <mergeCell ref="A10:D10"/>
  </mergeCells>
  <phoneticPr fontId="23" type="noConversion"/>
  <printOptions horizontalCentered="1"/>
  <pageMargins left="0.75" right="0.75" top="0.75" bottom="0.5" header="0.5" footer="0.5"/>
  <pageSetup scale="85" orientation="landscape" horizontalDpi="4294967292" verticalDpi="4294967292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I39"/>
  <sheetViews>
    <sheetView showGridLines="0" zoomScaleNormal="100" workbookViewId="0">
      <selection activeCell="B19" sqref="B19"/>
    </sheetView>
  </sheetViews>
  <sheetFormatPr defaultRowHeight="12.75"/>
  <cols>
    <col min="1" max="1" width="44.42578125" customWidth="1"/>
    <col min="2" max="2" width="18" customWidth="1"/>
    <col min="3" max="3" width="10.5703125" customWidth="1"/>
    <col min="4" max="4" width="27.5703125" customWidth="1"/>
    <col min="5" max="5" width="23.42578125" customWidth="1"/>
    <col min="6" max="6" width="15.5703125" customWidth="1"/>
    <col min="7" max="7" width="7.5703125" hidden="1" customWidth="1"/>
    <col min="8" max="9" width="9.42578125" hidden="1" customWidth="1"/>
    <col min="10" max="10" width="22" customWidth="1"/>
  </cols>
  <sheetData>
    <row r="1" spans="1:5" ht="19.5">
      <c r="A1" s="100" t="s">
        <v>0</v>
      </c>
      <c r="B1" s="100"/>
      <c r="C1" s="101"/>
      <c r="E1" s="100" t="s">
        <v>134</v>
      </c>
    </row>
    <row r="2" spans="1:5" ht="9" customHeight="1">
      <c r="E2" t="s">
        <v>135</v>
      </c>
    </row>
    <row r="3" spans="1:5" ht="18.75" customHeight="1"/>
    <row r="5" spans="1:5" ht="15.75">
      <c r="A5" s="1155" t="s">
        <v>136</v>
      </c>
      <c r="B5" s="1155"/>
      <c r="C5" s="1155"/>
      <c r="D5" s="1155"/>
      <c r="E5" s="1155"/>
    </row>
    <row r="6" spans="1:5">
      <c r="A6" s="681"/>
      <c r="B6" s="681"/>
      <c r="C6" s="681"/>
      <c r="D6" s="681"/>
      <c r="E6" s="681"/>
    </row>
    <row r="7" spans="1:5">
      <c r="A7" s="1156" t="s">
        <v>137</v>
      </c>
      <c r="B7" s="1156"/>
      <c r="C7" s="1156"/>
      <c r="D7" s="1156"/>
      <c r="E7" s="1156"/>
    </row>
    <row r="8" spans="1:5" ht="9" customHeight="1">
      <c r="A8" s="680"/>
      <c r="B8" s="680"/>
      <c r="C8" s="680"/>
      <c r="D8" s="680"/>
      <c r="E8" s="680"/>
    </row>
    <row r="9" spans="1:5">
      <c r="A9" s="1169" t="s">
        <v>138</v>
      </c>
      <c r="B9" s="1158"/>
      <c r="C9" s="1158"/>
      <c r="D9" s="1158"/>
      <c r="E9" s="1158"/>
    </row>
    <row r="10" spans="1:5" ht="13.5" customHeight="1">
      <c r="A10" s="1159">
        <f>'Pet-cash'!A11:F11</f>
        <v>40816</v>
      </c>
      <c r="B10" s="1159"/>
      <c r="C10" s="1159"/>
      <c r="D10" s="1159"/>
      <c r="E10" s="1159"/>
    </row>
    <row r="11" spans="1:5" ht="15.75" customHeight="1"/>
    <row r="12" spans="1:5" ht="13.5" thickBot="1">
      <c r="A12" s="59" t="s">
        <v>139</v>
      </c>
      <c r="B12" s="59" t="s">
        <v>105</v>
      </c>
      <c r="C12" s="60"/>
      <c r="D12" s="59" t="s">
        <v>10</v>
      </c>
      <c r="E12" s="60"/>
    </row>
    <row r="13" spans="1:5" ht="18.75" customHeight="1">
      <c r="B13" s="26"/>
      <c r="D13" t="s">
        <v>140</v>
      </c>
    </row>
    <row r="14" spans="1:5" ht="18.75" customHeight="1">
      <c r="B14" s="26"/>
    </row>
    <row r="15" spans="1:5" ht="18.75" customHeight="1">
      <c r="B15" s="26"/>
    </row>
    <row r="16" spans="1:5" ht="18.75" customHeight="1">
      <c r="B16" s="26"/>
    </row>
    <row r="17" spans="1:5" ht="18.75" customHeight="1">
      <c r="B17" s="26"/>
    </row>
    <row r="18" spans="1:5" ht="18.75" customHeight="1">
      <c r="B18" s="26"/>
    </row>
    <row r="19" spans="1:5" ht="18.75" customHeight="1">
      <c r="B19" s="26"/>
    </row>
    <row r="20" spans="1:5" ht="18.75" customHeight="1">
      <c r="B20" s="26"/>
    </row>
    <row r="21" spans="1:5" ht="18.75" customHeight="1">
      <c r="B21" s="26"/>
    </row>
    <row r="22" spans="1:5" ht="18.75" customHeight="1">
      <c r="B22" s="26"/>
    </row>
    <row r="23" spans="1:5" ht="18.75" customHeight="1">
      <c r="B23" s="26"/>
    </row>
    <row r="24" spans="1:5" ht="18.75" customHeight="1">
      <c r="B24" s="26"/>
    </row>
    <row r="25" spans="1:5" ht="18.75" customHeight="1">
      <c r="B25" s="26"/>
    </row>
    <row r="26" spans="1:5" ht="18.75" customHeight="1">
      <c r="B26" s="26"/>
    </row>
    <row r="27" spans="1:5" ht="18.75" customHeight="1">
      <c r="B27" s="26"/>
    </row>
    <row r="28" spans="1:5" ht="21" customHeight="1" thickBot="1">
      <c r="A28" s="1" t="s">
        <v>113</v>
      </c>
      <c r="B28" s="27">
        <f>SUM(B14:B27)</f>
        <v>0</v>
      </c>
    </row>
    <row r="29" spans="1:5" ht="13.5" thickTop="1"/>
    <row r="30" spans="1:5">
      <c r="A30" s="2"/>
      <c r="B30" s="2"/>
      <c r="C30" s="2"/>
      <c r="D30" s="2"/>
      <c r="E30" s="2"/>
    </row>
    <row r="31" spans="1:5">
      <c r="A31" s="97">
        <v>19</v>
      </c>
      <c r="D31" s="97" t="s">
        <v>141</v>
      </c>
    </row>
    <row r="39" spans="4:7">
      <c r="D39" s="97"/>
      <c r="E39" s="19"/>
      <c r="F39" s="19"/>
      <c r="G39" t="s">
        <v>71</v>
      </c>
    </row>
  </sheetData>
  <mergeCells count="4">
    <mergeCell ref="A5:E5"/>
    <mergeCell ref="A7:E7"/>
    <mergeCell ref="A9:E9"/>
    <mergeCell ref="A10:E10"/>
  </mergeCells>
  <phoneticPr fontId="23" type="noConversion"/>
  <printOptions horizontalCentered="1"/>
  <pageMargins left="0.75" right="0.27" top="0.77" bottom="0.5" header="0.5" footer="0.5"/>
  <pageSetup orientation="landscape" horizontalDpi="4294967292" verticalDpi="4294967292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7"/>
  <dimension ref="A1:I36"/>
  <sheetViews>
    <sheetView showGridLines="0" zoomScaleNormal="100" workbookViewId="0">
      <selection activeCell="B19" sqref="B19"/>
    </sheetView>
  </sheetViews>
  <sheetFormatPr defaultRowHeight="12.75"/>
  <cols>
    <col min="1" max="1" width="44.42578125" customWidth="1"/>
    <col min="2" max="2" width="18" customWidth="1"/>
    <col min="3" max="3" width="10.5703125" customWidth="1"/>
    <col min="4" max="4" width="27.5703125" customWidth="1"/>
    <col min="5" max="5" width="23.42578125" customWidth="1"/>
    <col min="6" max="6" width="15.5703125" customWidth="1"/>
    <col min="7" max="7" width="7.5703125" hidden="1" customWidth="1"/>
    <col min="8" max="9" width="9.42578125" hidden="1" customWidth="1"/>
    <col min="10" max="10" width="22" customWidth="1"/>
  </cols>
  <sheetData>
    <row r="1" spans="1:5" ht="19.5">
      <c r="A1" s="100" t="s">
        <v>0</v>
      </c>
      <c r="B1" s="100"/>
      <c r="C1" s="101"/>
      <c r="E1" s="100" t="s">
        <v>134</v>
      </c>
    </row>
    <row r="2" spans="1:5" ht="9" customHeight="1">
      <c r="E2" t="s">
        <v>135</v>
      </c>
    </row>
    <row r="3" spans="1:5" ht="18.75" customHeight="1"/>
    <row r="5" spans="1:5" ht="15.75">
      <c r="A5" s="1155" t="s">
        <v>2</v>
      </c>
      <c r="B5" s="1155"/>
      <c r="C5" s="1155"/>
      <c r="D5" s="1155"/>
      <c r="E5" s="1155"/>
    </row>
    <row r="6" spans="1:5">
      <c r="A6" s="681"/>
      <c r="B6" s="681"/>
      <c r="C6" s="681"/>
      <c r="D6" s="681"/>
      <c r="E6" s="681"/>
    </row>
    <row r="7" spans="1:5">
      <c r="A7" s="1156" t="s">
        <v>142</v>
      </c>
      <c r="B7" s="1156"/>
      <c r="C7" s="1156"/>
      <c r="D7" s="1156"/>
      <c r="E7" s="1156"/>
    </row>
    <row r="8" spans="1:5" ht="9" customHeight="1">
      <c r="A8" s="680"/>
      <c r="B8" s="680"/>
      <c r="C8" s="680"/>
      <c r="D8" s="680"/>
      <c r="E8" s="680"/>
    </row>
    <row r="9" spans="1:5">
      <c r="A9" s="1169" t="s">
        <v>143</v>
      </c>
      <c r="B9" s="1158"/>
      <c r="C9" s="1158"/>
      <c r="D9" s="1158"/>
      <c r="E9" s="1158"/>
    </row>
    <row r="10" spans="1:5" ht="13.5" customHeight="1"/>
    <row r="11" spans="1:5" ht="15.75" customHeight="1"/>
    <row r="12" spans="1:5" ht="13.5" thickBot="1">
      <c r="A12" s="59" t="s">
        <v>144</v>
      </c>
      <c r="B12" s="59" t="s">
        <v>105</v>
      </c>
      <c r="C12" s="60"/>
      <c r="D12" s="59" t="s">
        <v>10</v>
      </c>
      <c r="E12" s="60"/>
    </row>
    <row r="13" spans="1:5" ht="18.75" customHeight="1">
      <c r="B13" s="26"/>
    </row>
    <row r="14" spans="1:5" ht="18.75" customHeight="1">
      <c r="A14" t="s">
        <v>145</v>
      </c>
      <c r="B14" s="26">
        <v>45570</v>
      </c>
      <c r="D14" t="s">
        <v>146</v>
      </c>
    </row>
    <row r="15" spans="1:5" ht="18.75" customHeight="1">
      <c r="A15" t="s">
        <v>147</v>
      </c>
      <c r="B15" s="26">
        <v>42315</v>
      </c>
      <c r="D15" t="s">
        <v>146</v>
      </c>
    </row>
    <row r="16" spans="1:5" ht="18.75" customHeight="1">
      <c r="A16" t="s">
        <v>148</v>
      </c>
      <c r="B16" s="26">
        <v>26000</v>
      </c>
      <c r="D16" t="s">
        <v>146</v>
      </c>
    </row>
    <row r="17" spans="1:5" ht="18.75" customHeight="1">
      <c r="B17" s="26"/>
    </row>
    <row r="18" spans="1:5" ht="18.75" customHeight="1">
      <c r="B18" s="26"/>
    </row>
    <row r="19" spans="1:5" ht="18.75" customHeight="1">
      <c r="B19" s="26"/>
    </row>
    <row r="20" spans="1:5" ht="18.75" customHeight="1">
      <c r="B20" s="26"/>
    </row>
    <row r="21" spans="1:5" ht="18.75" customHeight="1">
      <c r="B21" s="26"/>
    </row>
    <row r="22" spans="1:5" ht="18.75" customHeight="1">
      <c r="B22" s="26"/>
    </row>
    <row r="23" spans="1:5" ht="18.75" customHeight="1">
      <c r="B23" s="26"/>
    </row>
    <row r="24" spans="1:5" ht="18.75" customHeight="1">
      <c r="B24" s="26"/>
    </row>
    <row r="25" spans="1:5" ht="21" customHeight="1" thickBot="1">
      <c r="A25" s="1" t="s">
        <v>113</v>
      </c>
      <c r="B25" s="27">
        <f>SUM(B14:B24)</f>
        <v>113885</v>
      </c>
    </row>
    <row r="26" spans="1:5" ht="13.5" thickTop="1"/>
    <row r="27" spans="1:5">
      <c r="A27" s="2"/>
      <c r="B27" s="2"/>
      <c r="C27" s="2"/>
      <c r="D27" s="2"/>
      <c r="E27" s="2"/>
    </row>
    <row r="28" spans="1:5">
      <c r="A28" s="97">
        <v>19</v>
      </c>
      <c r="D28" s="97" t="s">
        <v>141</v>
      </c>
    </row>
    <row r="36" spans="4:7">
      <c r="D36" s="97"/>
      <c r="E36" s="19"/>
      <c r="F36" s="19"/>
      <c r="G36" t="s">
        <v>71</v>
      </c>
    </row>
  </sheetData>
  <mergeCells count="3">
    <mergeCell ref="A5:E5"/>
    <mergeCell ref="A7:E7"/>
    <mergeCell ref="A9:E9"/>
  </mergeCells>
  <phoneticPr fontId="23" type="noConversion"/>
  <printOptions horizontalCentered="1"/>
  <pageMargins left="0.75" right="0.27" top="0.77" bottom="0.5" header="0.5" footer="0.5"/>
  <pageSetup orientation="landscape" horizontalDpi="4294967292" verticalDpi="4294967292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M67"/>
  <sheetViews>
    <sheetView showGridLines="0" zoomScaleNormal="100" workbookViewId="0">
      <selection activeCell="B19" sqref="B19"/>
    </sheetView>
  </sheetViews>
  <sheetFormatPr defaultRowHeight="12.75"/>
  <cols>
    <col min="1" max="1" width="20.42578125" customWidth="1"/>
    <col min="2" max="2" width="35.5703125" bestFit="1" customWidth="1"/>
    <col min="3" max="3" width="10.5703125" customWidth="1"/>
    <col min="4" max="4" width="10.42578125" customWidth="1"/>
    <col min="5" max="5" width="10" customWidth="1"/>
    <col min="6" max="6" width="16.42578125" customWidth="1"/>
    <col min="7" max="7" width="9.5703125" customWidth="1"/>
    <col min="8" max="8" width="7.5703125" hidden="1" customWidth="1"/>
    <col min="9" max="10" width="9.42578125" hidden="1" customWidth="1"/>
    <col min="11" max="11" width="9.42578125" customWidth="1"/>
    <col min="12" max="12" width="17" customWidth="1"/>
  </cols>
  <sheetData>
    <row r="1" spans="1:13" ht="19.5">
      <c r="A1" s="100" t="s">
        <v>0</v>
      </c>
      <c r="B1" s="100"/>
      <c r="C1" s="101"/>
      <c r="G1" s="100" t="s">
        <v>134</v>
      </c>
    </row>
    <row r="2" spans="1:13" ht="9" customHeight="1"/>
    <row r="3" spans="1:13" ht="18.75" customHeight="1">
      <c r="M3" s="108"/>
    </row>
    <row r="4" spans="1:13" ht="15.75">
      <c r="A4" s="1155" t="s">
        <v>136</v>
      </c>
      <c r="B4" s="1155"/>
      <c r="C4" s="1155"/>
      <c r="D4" s="1155"/>
      <c r="E4" s="1155"/>
      <c r="F4" s="1155"/>
      <c r="G4" s="1155"/>
      <c r="H4" s="1155"/>
      <c r="I4" s="1155"/>
      <c r="J4" s="1155"/>
      <c r="K4" s="1155"/>
    </row>
    <row r="5" spans="1:13">
      <c r="A5" s="681"/>
      <c r="B5" s="681"/>
      <c r="C5" s="681"/>
      <c r="D5" s="681"/>
      <c r="E5" s="681"/>
      <c r="F5" s="681"/>
    </row>
    <row r="6" spans="1:13">
      <c r="A6" s="1156" t="s">
        <v>149</v>
      </c>
      <c r="B6" s="1156"/>
      <c r="C6" s="1156"/>
      <c r="D6" s="1156"/>
      <c r="E6" s="1156"/>
      <c r="F6" s="1156"/>
      <c r="G6" s="1156"/>
      <c r="H6" s="1156"/>
      <c r="I6" s="1156"/>
      <c r="J6" s="1156"/>
      <c r="K6" s="1156"/>
    </row>
    <row r="7" spans="1:13" ht="9" customHeight="1">
      <c r="A7" s="680"/>
      <c r="B7" s="680"/>
      <c r="C7" s="680"/>
      <c r="D7" s="680"/>
      <c r="E7" s="680"/>
      <c r="F7" s="680"/>
      <c r="G7" s="680"/>
      <c r="H7" s="680"/>
      <c r="I7" s="680"/>
      <c r="J7" s="680"/>
      <c r="K7" s="680"/>
    </row>
    <row r="8" spans="1:13">
      <c r="A8" s="1169" t="s">
        <v>143</v>
      </c>
      <c r="B8" s="1158"/>
      <c r="C8" s="1158"/>
      <c r="D8" s="1158"/>
      <c r="E8" s="1158"/>
      <c r="F8" s="1158"/>
      <c r="G8" s="1158"/>
      <c r="H8" s="1158"/>
      <c r="I8" s="1158"/>
      <c r="J8" s="1158"/>
      <c r="K8" s="1158"/>
    </row>
    <row r="10" spans="1:13" ht="39" thickBot="1">
      <c r="A10" s="14" t="s">
        <v>144</v>
      </c>
      <c r="B10" s="14" t="s">
        <v>150</v>
      </c>
      <c r="C10" s="15" t="s">
        <v>151</v>
      </c>
      <c r="D10" s="15" t="s">
        <v>152</v>
      </c>
      <c r="E10" s="15" t="s">
        <v>153</v>
      </c>
      <c r="F10" s="15" t="s">
        <v>154</v>
      </c>
      <c r="G10" s="15" t="s">
        <v>155</v>
      </c>
      <c r="H10" s="14"/>
      <c r="I10" s="14"/>
      <c r="J10" s="14"/>
      <c r="K10" s="15" t="s">
        <v>156</v>
      </c>
    </row>
    <row r="11" spans="1:13" ht="18" customHeight="1">
      <c r="A11" s="110"/>
      <c r="B11" s="120"/>
      <c r="C11" s="36"/>
      <c r="D11" s="36"/>
      <c r="E11" s="40"/>
      <c r="F11" s="40"/>
      <c r="G11" s="40"/>
      <c r="H11" s="40"/>
      <c r="I11" s="40"/>
      <c r="J11" s="40"/>
      <c r="K11" s="40"/>
    </row>
    <row r="12" spans="1:13" ht="18" customHeight="1">
      <c r="A12" s="110"/>
      <c r="B12" s="121"/>
      <c r="C12" s="37"/>
      <c r="D12" s="37"/>
      <c r="E12" s="30"/>
      <c r="F12" s="30"/>
      <c r="G12" s="30"/>
      <c r="H12" s="30"/>
      <c r="I12" s="30"/>
      <c r="J12" s="30"/>
      <c r="K12" s="30"/>
    </row>
    <row r="13" spans="1:13" ht="18" customHeight="1">
      <c r="A13" s="110"/>
      <c r="B13" s="121"/>
      <c r="C13" s="37"/>
      <c r="D13" s="37"/>
      <c r="E13" s="30"/>
      <c r="F13" s="30"/>
      <c r="G13" s="30"/>
      <c r="H13" s="30"/>
      <c r="I13" s="30"/>
      <c r="J13" s="30"/>
      <c r="K13" s="30"/>
    </row>
    <row r="14" spans="1:13" ht="18" customHeight="1">
      <c r="A14" s="110"/>
      <c r="B14" s="121"/>
      <c r="C14" s="37"/>
      <c r="D14" s="37"/>
      <c r="E14" s="30"/>
      <c r="F14" s="30"/>
      <c r="G14" s="30"/>
      <c r="H14" s="30"/>
      <c r="I14" s="30"/>
      <c r="J14" s="30"/>
      <c r="K14" s="30"/>
    </row>
    <row r="15" spans="1:13" ht="18" customHeight="1">
      <c r="A15" s="110"/>
      <c r="B15" s="121"/>
      <c r="C15" s="37"/>
      <c r="D15" s="37"/>
      <c r="E15" s="30"/>
      <c r="F15" s="30"/>
      <c r="G15" s="30"/>
      <c r="H15" s="30"/>
      <c r="I15" s="30"/>
      <c r="J15" s="30"/>
      <c r="K15" s="30"/>
    </row>
    <row r="16" spans="1:13" ht="18" customHeight="1">
      <c r="A16" s="110"/>
      <c r="B16" s="121"/>
      <c r="C16" s="37"/>
      <c r="D16" s="37"/>
      <c r="E16" s="30"/>
      <c r="F16" s="30"/>
      <c r="G16" s="30"/>
      <c r="H16" s="30"/>
      <c r="I16" s="30"/>
      <c r="J16" s="30"/>
      <c r="K16" s="30"/>
    </row>
    <row r="17" spans="1:11" ht="18" customHeight="1">
      <c r="A17" s="110"/>
      <c r="B17" s="121"/>
      <c r="C17" s="37"/>
      <c r="D17" s="37"/>
      <c r="E17" s="30"/>
      <c r="F17" s="30"/>
      <c r="G17" s="30"/>
      <c r="H17" s="30"/>
      <c r="I17" s="30"/>
      <c r="J17" s="30"/>
      <c r="K17" s="30"/>
    </row>
    <row r="18" spans="1:11" ht="18" customHeight="1">
      <c r="A18" s="110"/>
      <c r="B18" s="121"/>
      <c r="C18" s="37"/>
      <c r="D18" s="37"/>
      <c r="E18" s="30"/>
      <c r="F18" s="30"/>
      <c r="G18" s="30"/>
      <c r="H18" s="30"/>
      <c r="I18" s="30"/>
      <c r="J18" s="30"/>
      <c r="K18" s="30"/>
    </row>
    <row r="19" spans="1:11" ht="18" customHeight="1">
      <c r="A19" s="110"/>
      <c r="B19" s="121"/>
      <c r="C19" s="37"/>
      <c r="D19" s="37"/>
      <c r="E19" s="30"/>
      <c r="F19" s="30"/>
      <c r="G19" s="30"/>
      <c r="H19" s="30"/>
      <c r="I19" s="30"/>
      <c r="J19" s="30"/>
      <c r="K19" s="30"/>
    </row>
    <row r="20" spans="1:11" ht="18" customHeight="1">
      <c r="A20" s="110"/>
      <c r="B20" s="121"/>
      <c r="C20" s="37"/>
      <c r="D20" s="37"/>
      <c r="E20" s="30"/>
      <c r="F20" s="30"/>
      <c r="G20" s="30"/>
      <c r="H20" s="30"/>
      <c r="I20" s="30"/>
      <c r="J20" s="30"/>
      <c r="K20" s="30"/>
    </row>
    <row r="21" spans="1:11" ht="18" customHeight="1">
      <c r="A21" s="110"/>
      <c r="B21" s="121"/>
      <c r="C21" s="37"/>
      <c r="D21" s="37"/>
      <c r="E21" s="30"/>
      <c r="F21" s="30"/>
      <c r="G21" s="30"/>
      <c r="H21" s="30"/>
      <c r="I21" s="30"/>
      <c r="J21" s="30"/>
      <c r="K21" s="30"/>
    </row>
    <row r="22" spans="1:11" ht="18" customHeight="1">
      <c r="A22" s="110"/>
      <c r="B22" s="121"/>
      <c r="C22" s="37"/>
      <c r="D22" s="37"/>
      <c r="E22" s="30"/>
      <c r="F22" s="30"/>
      <c r="G22" s="30"/>
      <c r="H22" s="30"/>
      <c r="I22" s="30"/>
      <c r="J22" s="30"/>
      <c r="K22" s="30"/>
    </row>
    <row r="23" spans="1:11" ht="18" customHeight="1">
      <c r="A23" s="110"/>
      <c r="B23" s="122"/>
      <c r="C23" s="37"/>
      <c r="D23" s="37"/>
      <c r="E23" s="41"/>
      <c r="F23" s="41"/>
      <c r="G23" s="41"/>
      <c r="H23" s="41"/>
      <c r="I23" s="41"/>
      <c r="J23" s="41"/>
      <c r="K23" s="41"/>
    </row>
    <row r="24" spans="1:11" ht="18" customHeight="1">
      <c r="A24" s="110"/>
      <c r="B24" s="22"/>
      <c r="C24" s="37"/>
      <c r="D24" s="37"/>
      <c r="E24" s="30"/>
      <c r="F24" s="30"/>
      <c r="G24" s="30"/>
      <c r="H24" s="30"/>
      <c r="I24" s="30"/>
      <c r="J24" s="30"/>
      <c r="K24" s="30"/>
    </row>
    <row r="25" spans="1:11" ht="18" customHeight="1">
      <c r="A25" s="110"/>
      <c r="B25" s="22"/>
      <c r="C25" s="37"/>
      <c r="D25" s="37"/>
      <c r="E25" s="30"/>
      <c r="F25" s="30"/>
      <c r="G25" s="30"/>
      <c r="H25" s="30"/>
      <c r="I25" s="30"/>
      <c r="J25" s="30"/>
      <c r="K25" s="30"/>
    </row>
    <row r="26" spans="1:11" ht="18" customHeight="1">
      <c r="A26" s="110"/>
      <c r="B26" s="34"/>
      <c r="C26" s="38"/>
      <c r="D26" s="38"/>
      <c r="E26" s="41"/>
      <c r="F26" s="41"/>
      <c r="G26" s="41"/>
      <c r="H26" s="142"/>
      <c r="I26" s="142"/>
      <c r="J26" s="142"/>
      <c r="K26" s="41"/>
    </row>
    <row r="27" spans="1:11" ht="18" customHeight="1">
      <c r="A27" s="110"/>
      <c r="B27" s="22"/>
      <c r="C27" s="38"/>
      <c r="D27" s="38"/>
      <c r="E27" s="41"/>
      <c r="F27" s="41"/>
      <c r="G27" s="41"/>
      <c r="H27" s="142"/>
      <c r="I27" s="142"/>
      <c r="J27" s="142"/>
      <c r="K27" s="41"/>
    </row>
    <row r="28" spans="1:11" ht="18" customHeight="1">
      <c r="A28" s="110"/>
      <c r="B28" s="22"/>
      <c r="C28" s="37"/>
      <c r="D28" s="37"/>
      <c r="E28" s="30"/>
      <c r="F28" s="30"/>
      <c r="G28" s="30"/>
      <c r="H28" s="30"/>
      <c r="I28" s="30"/>
      <c r="J28" s="30"/>
      <c r="K28" s="30"/>
    </row>
    <row r="29" spans="1:11" ht="18" customHeight="1">
      <c r="A29" s="110"/>
      <c r="B29" s="22"/>
      <c r="C29" s="37"/>
      <c r="D29" s="37"/>
      <c r="E29" s="30"/>
      <c r="F29" s="30"/>
      <c r="G29" s="30"/>
      <c r="H29" s="30"/>
      <c r="I29" s="30"/>
      <c r="J29" s="30"/>
      <c r="K29" s="30"/>
    </row>
    <row r="30" spans="1:11" ht="18" customHeight="1">
      <c r="A30" s="110"/>
      <c r="B30" s="22"/>
      <c r="C30" s="37"/>
      <c r="D30" s="38"/>
      <c r="E30" s="30"/>
      <c r="F30" s="30"/>
      <c r="G30" s="30"/>
      <c r="H30" s="30"/>
      <c r="I30" s="30"/>
      <c r="J30" s="30"/>
      <c r="K30" s="30"/>
    </row>
    <row r="31" spans="1:11" ht="18" customHeight="1">
      <c r="A31" s="110"/>
      <c r="B31" s="22"/>
      <c r="C31" s="37"/>
      <c r="D31" s="37"/>
      <c r="E31" s="30"/>
      <c r="F31" s="30"/>
      <c r="G31" s="30"/>
      <c r="H31" s="30"/>
      <c r="I31" s="30"/>
      <c r="J31" s="30"/>
      <c r="K31" s="30"/>
    </row>
    <row r="32" spans="1:11" ht="18" customHeight="1">
      <c r="A32" s="110"/>
      <c r="B32" s="22"/>
      <c r="C32" s="37"/>
      <c r="D32" s="37"/>
      <c r="E32" s="30"/>
      <c r="F32" s="30"/>
      <c r="G32" s="30"/>
      <c r="H32" s="142"/>
      <c r="I32" s="142"/>
      <c r="J32" s="142"/>
      <c r="K32" s="30"/>
    </row>
    <row r="33" spans="1:11" ht="18" customHeight="1">
      <c r="A33" s="110"/>
      <c r="B33" s="22"/>
      <c r="C33" s="37"/>
      <c r="D33" s="170"/>
      <c r="E33" s="30"/>
      <c r="F33" s="30"/>
      <c r="G33" s="30"/>
      <c r="H33" s="142"/>
      <c r="I33" s="142"/>
      <c r="J33" s="142"/>
      <c r="K33" s="30"/>
    </row>
    <row r="34" spans="1:11" ht="18" customHeight="1">
      <c r="A34" s="110"/>
      <c r="B34" s="34"/>
      <c r="C34" s="38"/>
      <c r="D34" s="182"/>
      <c r="E34" s="183"/>
      <c r="F34" s="41"/>
      <c r="G34" s="41"/>
      <c r="H34" s="142"/>
      <c r="I34" s="142"/>
      <c r="J34" s="142"/>
      <c r="K34" s="41"/>
    </row>
    <row r="35" spans="1:11" ht="18" customHeight="1">
      <c r="A35" s="110"/>
      <c r="B35" s="22"/>
      <c r="C35" s="37"/>
      <c r="D35" s="37"/>
      <c r="E35" s="30"/>
      <c r="F35" s="30"/>
      <c r="G35" s="30"/>
      <c r="H35" s="30"/>
      <c r="I35" s="30"/>
      <c r="J35" s="30"/>
      <c r="K35" s="30"/>
    </row>
    <row r="36" spans="1:11" ht="18" customHeight="1">
      <c r="A36" s="110"/>
      <c r="B36" s="22"/>
      <c r="C36" s="37"/>
      <c r="D36" s="182"/>
      <c r="E36" s="30"/>
      <c r="F36" s="30"/>
      <c r="G36" s="30"/>
      <c r="H36" s="30"/>
      <c r="I36" s="30"/>
      <c r="J36" s="30"/>
      <c r="K36" s="30"/>
    </row>
    <row r="37" spans="1:11" ht="18" customHeight="1">
      <c r="A37" s="110"/>
      <c r="B37" s="121"/>
      <c r="C37" s="37"/>
      <c r="D37" s="38"/>
      <c r="E37" s="30"/>
      <c r="F37" s="30"/>
      <c r="G37" s="30"/>
      <c r="H37" s="30"/>
      <c r="I37" s="30"/>
      <c r="J37" s="30"/>
      <c r="K37" s="30"/>
    </row>
    <row r="38" spans="1:11" ht="18" customHeight="1">
      <c r="A38" s="110"/>
      <c r="B38" s="121"/>
      <c r="C38" s="37"/>
      <c r="D38" s="37"/>
      <c r="E38" s="30"/>
      <c r="F38" s="30"/>
      <c r="G38" s="30"/>
      <c r="H38" s="30"/>
      <c r="I38" s="30"/>
      <c r="J38" s="30"/>
      <c r="K38" s="30"/>
    </row>
    <row r="39" spans="1:11" ht="18" customHeight="1">
      <c r="A39" s="110"/>
      <c r="B39" s="187"/>
      <c r="C39" s="37"/>
      <c r="D39" s="37"/>
      <c r="E39" s="30"/>
      <c r="F39" s="30"/>
      <c r="G39" s="30"/>
      <c r="H39" s="30"/>
      <c r="I39" s="30"/>
      <c r="J39" s="30"/>
      <c r="K39" s="30"/>
    </row>
    <row r="40" spans="1:11" ht="18" customHeight="1">
      <c r="A40" s="110"/>
      <c r="B40" s="121"/>
      <c r="C40" s="37"/>
      <c r="D40" s="37"/>
      <c r="E40" s="30"/>
      <c r="F40" s="30"/>
      <c r="G40" s="30"/>
      <c r="H40" s="30"/>
      <c r="I40" s="30"/>
      <c r="J40" s="30"/>
      <c r="K40" s="30"/>
    </row>
    <row r="41" spans="1:11" ht="18" customHeight="1">
      <c r="A41" s="110"/>
      <c r="B41" s="187"/>
      <c r="C41" s="37"/>
      <c r="D41" s="37"/>
      <c r="E41" s="30"/>
      <c r="F41" s="30"/>
      <c r="G41" s="30"/>
      <c r="H41" s="30"/>
      <c r="I41" s="30"/>
      <c r="J41" s="30"/>
      <c r="K41" s="30"/>
    </row>
    <row r="42" spans="1:11" ht="18" customHeight="1">
      <c r="A42" s="110"/>
      <c r="B42" s="189"/>
      <c r="C42" s="37"/>
      <c r="D42" s="37"/>
      <c r="E42" s="30"/>
      <c r="F42" s="30"/>
      <c r="G42" s="30"/>
      <c r="H42" s="30"/>
      <c r="I42" s="30"/>
      <c r="J42" s="30"/>
      <c r="K42" s="30"/>
    </row>
    <row r="43" spans="1:11" ht="18" customHeight="1">
      <c r="A43" s="110"/>
      <c r="B43" s="189"/>
      <c r="C43" s="37"/>
      <c r="D43" s="37"/>
      <c r="E43" s="30"/>
      <c r="F43" s="30"/>
      <c r="G43" s="30"/>
      <c r="H43" s="30"/>
      <c r="I43" s="30"/>
      <c r="J43" s="30"/>
      <c r="K43" s="30"/>
    </row>
    <row r="44" spans="1:11" ht="18" customHeight="1">
      <c r="A44" s="110"/>
      <c r="B44" s="189"/>
      <c r="C44" s="37"/>
      <c r="D44" s="37"/>
      <c r="E44" s="30"/>
      <c r="F44" s="30"/>
      <c r="G44" s="30"/>
      <c r="H44" s="30"/>
      <c r="I44" s="30"/>
      <c r="J44" s="30"/>
      <c r="K44" s="30"/>
    </row>
    <row r="45" spans="1:11" ht="18" customHeight="1">
      <c r="A45" s="110"/>
      <c r="B45" s="189"/>
      <c r="C45" s="37"/>
      <c r="D45" s="37"/>
      <c r="E45" s="30"/>
      <c r="F45" s="30"/>
      <c r="G45" s="30"/>
      <c r="H45" s="30"/>
      <c r="I45" s="30"/>
      <c r="J45" s="30"/>
      <c r="K45" s="30"/>
    </row>
    <row r="46" spans="1:11" ht="18" customHeight="1">
      <c r="A46" s="110"/>
      <c r="B46" s="189"/>
      <c r="C46" s="37"/>
      <c r="D46" s="37"/>
      <c r="E46" s="30"/>
      <c r="F46" s="30"/>
      <c r="G46" s="30"/>
      <c r="H46" s="30"/>
      <c r="I46" s="30"/>
      <c r="J46" s="30"/>
      <c r="K46" s="30"/>
    </row>
    <row r="47" spans="1:11" ht="18" customHeight="1">
      <c r="A47" s="110"/>
      <c r="B47" s="121"/>
      <c r="C47" s="37"/>
      <c r="D47" s="37"/>
      <c r="E47" s="30"/>
      <c r="F47" s="30"/>
      <c r="G47" s="30"/>
      <c r="H47" s="30"/>
      <c r="I47" s="30"/>
      <c r="J47" s="30"/>
      <c r="K47" s="30"/>
    </row>
    <row r="48" spans="1:11" ht="18" customHeight="1">
      <c r="A48" s="110"/>
      <c r="B48" s="189"/>
      <c r="C48" s="37"/>
      <c r="D48" s="37"/>
      <c r="E48" s="30"/>
      <c r="F48" s="30"/>
      <c r="G48" s="30"/>
      <c r="H48" s="30"/>
      <c r="I48" s="30"/>
      <c r="J48" s="30"/>
      <c r="K48" s="30"/>
    </row>
    <row r="49" spans="1:11" ht="18" customHeight="1">
      <c r="A49" s="110"/>
      <c r="B49" s="189"/>
      <c r="C49" s="37"/>
      <c r="D49" s="37"/>
      <c r="E49" s="30"/>
      <c r="F49" s="30"/>
      <c r="G49" s="30"/>
      <c r="H49" s="30"/>
      <c r="I49" s="30"/>
      <c r="J49" s="30"/>
      <c r="K49" s="30"/>
    </row>
    <row r="50" spans="1:11" ht="18" customHeight="1">
      <c r="A50" s="110"/>
      <c r="B50" s="189"/>
      <c r="C50" s="37"/>
      <c r="D50" s="37"/>
      <c r="E50" s="30"/>
      <c r="F50" s="30"/>
      <c r="G50" s="30"/>
      <c r="H50" s="30"/>
      <c r="I50" s="30"/>
      <c r="J50" s="30"/>
      <c r="K50" s="30"/>
    </row>
    <row r="51" spans="1:11" ht="18" customHeight="1">
      <c r="A51" s="110"/>
      <c r="B51" s="189"/>
      <c r="C51" s="37"/>
      <c r="D51" s="37"/>
      <c r="E51" s="30"/>
      <c r="F51" s="30"/>
      <c r="G51" s="30"/>
      <c r="H51" s="30"/>
      <c r="I51" s="30"/>
      <c r="J51" s="30"/>
      <c r="K51" s="30"/>
    </row>
    <row r="52" spans="1:11" ht="18" customHeight="1">
      <c r="A52" s="110"/>
      <c r="B52" s="189"/>
      <c r="C52" s="37"/>
      <c r="D52" s="37"/>
      <c r="E52" s="30"/>
      <c r="F52" s="30"/>
      <c r="G52" s="30"/>
      <c r="H52" s="30"/>
      <c r="I52" s="30"/>
      <c r="J52" s="30"/>
      <c r="K52" s="30"/>
    </row>
    <row r="53" spans="1:11" ht="18" customHeight="1">
      <c r="A53" s="110"/>
      <c r="B53" s="189"/>
      <c r="C53" s="37"/>
      <c r="D53" s="37"/>
      <c r="E53" s="30"/>
      <c r="F53" s="30"/>
      <c r="G53" s="30"/>
      <c r="H53" s="30"/>
      <c r="I53" s="30"/>
      <c r="J53" s="30"/>
      <c r="K53" s="30"/>
    </row>
    <row r="54" spans="1:11" ht="18" customHeight="1">
      <c r="A54" s="110"/>
      <c r="B54" s="121"/>
      <c r="C54" s="37"/>
      <c r="D54" s="37"/>
      <c r="E54" s="30"/>
      <c r="F54" s="30"/>
      <c r="G54" s="30"/>
      <c r="H54" s="30"/>
      <c r="I54" s="30"/>
      <c r="J54" s="30"/>
      <c r="K54" s="30"/>
    </row>
    <row r="55" spans="1:11" ht="18" customHeight="1">
      <c r="A55" s="110"/>
      <c r="B55" s="189"/>
      <c r="C55" s="37"/>
      <c r="D55" s="37"/>
      <c r="E55" s="30"/>
      <c r="F55" s="30"/>
      <c r="G55" s="30"/>
      <c r="H55" s="30"/>
      <c r="I55" s="30"/>
      <c r="J55" s="30"/>
      <c r="K55" s="30"/>
    </row>
    <row r="56" spans="1:11" ht="18" customHeight="1">
      <c r="A56" s="110"/>
      <c r="B56" s="121"/>
      <c r="C56" s="37"/>
      <c r="D56" s="37"/>
      <c r="E56" s="30"/>
      <c r="F56" s="30"/>
      <c r="G56" s="30"/>
      <c r="H56" s="30"/>
      <c r="I56" s="30"/>
      <c r="J56" s="30"/>
      <c r="K56" s="30"/>
    </row>
    <row r="57" spans="1:11" ht="18" customHeight="1">
      <c r="A57" s="110"/>
      <c r="B57" s="189"/>
      <c r="C57" s="37"/>
      <c r="D57" s="37"/>
      <c r="E57" s="30"/>
      <c r="F57" s="30"/>
      <c r="G57" s="30"/>
      <c r="H57" s="30"/>
      <c r="I57" s="30"/>
      <c r="J57" s="30"/>
      <c r="K57" s="30"/>
    </row>
    <row r="58" spans="1:11" ht="18" customHeight="1">
      <c r="A58" s="110"/>
      <c r="B58" s="189"/>
      <c r="C58" s="37"/>
      <c r="D58" s="37"/>
      <c r="E58" s="30"/>
      <c r="F58" s="30"/>
      <c r="G58" s="30"/>
      <c r="H58" s="30"/>
      <c r="I58" s="30"/>
      <c r="J58" s="30"/>
      <c r="K58" s="30"/>
    </row>
    <row r="59" spans="1:11" ht="18" customHeight="1">
      <c r="A59" s="110"/>
      <c r="B59" s="189"/>
      <c r="C59" s="37"/>
      <c r="D59" s="37"/>
      <c r="E59" s="30"/>
      <c r="F59" s="30"/>
      <c r="G59" s="30"/>
      <c r="H59" s="30"/>
      <c r="I59" s="30"/>
      <c r="J59" s="30"/>
      <c r="K59" s="30"/>
    </row>
    <row r="60" spans="1:11" ht="18" customHeight="1">
      <c r="A60" s="110"/>
      <c r="B60" s="162"/>
      <c r="C60" s="163"/>
      <c r="D60" s="163"/>
      <c r="E60" s="142"/>
      <c r="F60" s="142"/>
      <c r="G60" s="142"/>
      <c r="H60" s="142"/>
      <c r="I60" s="142"/>
      <c r="J60" s="142"/>
      <c r="K60" s="142"/>
    </row>
    <row r="61" spans="1:11" ht="18" customHeight="1" thickBot="1">
      <c r="A61" s="137" t="s">
        <v>62</v>
      </c>
      <c r="B61" s="650"/>
      <c r="C61" s="651"/>
      <c r="D61" s="651"/>
      <c r="E61" s="133">
        <f>SUM(E12:E25)</f>
        <v>0</v>
      </c>
      <c r="F61" s="133">
        <f>SUM(F12:F60)</f>
        <v>0</v>
      </c>
      <c r="G61" s="133">
        <f>SUM(G11:G23)</f>
        <v>0</v>
      </c>
      <c r="H61" s="133"/>
      <c r="I61" s="133"/>
      <c r="J61" s="133"/>
      <c r="K61" s="133">
        <f>SUM(K11:K23)</f>
        <v>0</v>
      </c>
    </row>
    <row r="62" spans="1:11" ht="13.5" thickTop="1"/>
    <row r="63" spans="1:11">
      <c r="A63" s="17" t="s">
        <v>157</v>
      </c>
    </row>
    <row r="64" spans="1:11">
      <c r="A64" s="95">
        <v>20</v>
      </c>
      <c r="F64" s="97" t="s">
        <v>158</v>
      </c>
      <c r="K64" s="96"/>
    </row>
    <row r="65" spans="1:11">
      <c r="A65" s="97"/>
    </row>
    <row r="67" spans="1:11">
      <c r="A67" s="95"/>
      <c r="K67" s="96"/>
    </row>
  </sheetData>
  <mergeCells count="3">
    <mergeCell ref="A6:K6"/>
    <mergeCell ref="A8:K8"/>
    <mergeCell ref="A4:K4"/>
  </mergeCells>
  <phoneticPr fontId="23" type="noConversion"/>
  <printOptions horizontalCentered="1"/>
  <pageMargins left="0.75" right="0.37" top="0.75" bottom="0.5" header="0.5" footer="0.5"/>
  <pageSetup scale="62" orientation="portrait" horizontalDpi="4294967292" verticalDpi="4294967292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pageSetUpPr fitToPage="1"/>
  </sheetPr>
  <dimension ref="A1:M74"/>
  <sheetViews>
    <sheetView showGridLines="0" zoomScaleNormal="100" workbookViewId="0">
      <selection activeCell="B19" sqref="B19"/>
    </sheetView>
  </sheetViews>
  <sheetFormatPr defaultRowHeight="12.75"/>
  <cols>
    <col min="1" max="1" width="29.5703125" customWidth="1"/>
    <col min="2" max="2" width="13" customWidth="1"/>
    <col min="3" max="3" width="11.42578125" style="5" customWidth="1"/>
    <col min="4" max="4" width="8.42578125" style="5" customWidth="1"/>
    <col min="5" max="5" width="13.42578125" customWidth="1"/>
    <col min="6" max="6" width="14.42578125" customWidth="1"/>
    <col min="7" max="7" width="7.5703125" hidden="1" customWidth="1"/>
    <col min="8" max="9" width="9.42578125" hidden="1" customWidth="1"/>
    <col min="10" max="10" width="14.42578125" customWidth="1"/>
    <col min="11" max="11" width="15.42578125" customWidth="1"/>
  </cols>
  <sheetData>
    <row r="1" spans="1:13" ht="19.5">
      <c r="A1" s="100" t="s">
        <v>0</v>
      </c>
      <c r="B1" s="100"/>
      <c r="C1" s="102"/>
      <c r="J1" s="100" t="s">
        <v>159</v>
      </c>
    </row>
    <row r="2" spans="1:13" ht="9" customHeight="1">
      <c r="C2"/>
      <c r="D2"/>
    </row>
    <row r="3" spans="1:13" ht="18.75" customHeight="1">
      <c r="C3"/>
      <c r="D3"/>
    </row>
    <row r="4" spans="1:13" ht="15.75">
      <c r="A4" s="1155" t="s">
        <v>2</v>
      </c>
      <c r="B4" s="1155"/>
      <c r="C4" s="1155"/>
      <c r="D4" s="1155"/>
      <c r="E4" s="1155"/>
      <c r="F4" s="1155"/>
      <c r="G4" s="1155"/>
      <c r="H4" s="1155"/>
      <c r="I4" s="1155"/>
      <c r="J4" s="1155"/>
      <c r="K4" s="1155"/>
    </row>
    <row r="5" spans="1:13">
      <c r="A5" s="681"/>
      <c r="B5" s="681"/>
      <c r="C5" s="681"/>
      <c r="D5" s="681"/>
      <c r="E5" s="681"/>
    </row>
    <row r="6" spans="1:13">
      <c r="A6" s="1156" t="s">
        <v>160</v>
      </c>
      <c r="B6" s="1156"/>
      <c r="C6" s="1156"/>
      <c r="D6" s="1156"/>
      <c r="E6" s="1156"/>
      <c r="F6" s="1156"/>
      <c r="G6" s="1156"/>
      <c r="H6" s="1156"/>
      <c r="I6" s="1156"/>
      <c r="J6" s="1156"/>
      <c r="K6" s="1156"/>
    </row>
    <row r="7" spans="1:13" ht="9" customHeight="1">
      <c r="A7" s="680"/>
      <c r="B7" s="680"/>
      <c r="C7" s="680"/>
      <c r="D7" s="680"/>
      <c r="E7" s="680"/>
      <c r="F7" s="680"/>
      <c r="G7" s="680"/>
      <c r="H7" s="680"/>
      <c r="I7" s="680"/>
      <c r="J7" s="680"/>
      <c r="K7" s="680"/>
    </row>
    <row r="8" spans="1:13">
      <c r="A8" s="1169" t="s">
        <v>143</v>
      </c>
      <c r="B8" s="1158"/>
      <c r="C8" s="1158"/>
      <c r="D8" s="1158"/>
      <c r="E8" s="1158"/>
      <c r="F8" s="1158"/>
      <c r="G8" s="1158"/>
      <c r="H8" s="1158"/>
      <c r="I8" s="1158"/>
      <c r="J8" s="1158"/>
      <c r="K8" s="1158"/>
    </row>
    <row r="10" spans="1:13" ht="38.25">
      <c r="A10" s="44" t="s">
        <v>144</v>
      </c>
      <c r="B10" s="44" t="s">
        <v>11</v>
      </c>
      <c r="C10" s="119" t="s">
        <v>161</v>
      </c>
      <c r="D10" s="119" t="s">
        <v>162</v>
      </c>
      <c r="E10" s="119" t="s">
        <v>163</v>
      </c>
      <c r="F10" s="119" t="s">
        <v>164</v>
      </c>
      <c r="G10" s="44"/>
      <c r="H10" s="44"/>
      <c r="I10" s="44"/>
      <c r="J10" s="119" t="s">
        <v>165</v>
      </c>
      <c r="K10" s="119" t="s">
        <v>166</v>
      </c>
    </row>
    <row r="11" spans="1:13" ht="18.75" customHeight="1">
      <c r="A11" s="139"/>
      <c r="B11" s="153"/>
      <c r="C11" s="156"/>
      <c r="D11" s="157"/>
      <c r="E11" s="130"/>
      <c r="F11" s="130"/>
      <c r="G11" s="129"/>
      <c r="H11" s="129"/>
      <c r="I11" s="129"/>
      <c r="J11" s="130"/>
      <c r="K11" s="131"/>
    </row>
    <row r="12" spans="1:13" ht="18.75" customHeight="1">
      <c r="A12" s="110"/>
      <c r="B12" s="154"/>
      <c r="C12" s="158"/>
      <c r="D12" s="158"/>
      <c r="E12" s="151"/>
      <c r="F12" s="160"/>
      <c r="G12" s="151"/>
      <c r="H12" s="151"/>
      <c r="I12" s="151"/>
      <c r="J12" s="160"/>
      <c r="K12" s="160"/>
      <c r="L12" s="185"/>
      <c r="M12" s="186"/>
    </row>
    <row r="13" spans="1:13" ht="18" customHeight="1">
      <c r="A13" s="110"/>
      <c r="B13" s="155"/>
      <c r="C13" s="158"/>
      <c r="D13" s="158"/>
      <c r="E13" s="151"/>
      <c r="F13" s="160"/>
      <c r="G13" s="151"/>
      <c r="H13" s="151"/>
      <c r="I13" s="151"/>
      <c r="J13" s="160"/>
      <c r="K13" s="160"/>
      <c r="L13" s="185"/>
      <c r="M13" s="186"/>
    </row>
    <row r="14" spans="1:13" ht="18" customHeight="1">
      <c r="A14" s="150"/>
      <c r="B14" s="155"/>
      <c r="C14" s="158"/>
      <c r="D14" s="158"/>
      <c r="E14" s="151"/>
      <c r="F14" s="160"/>
      <c r="G14" s="151"/>
      <c r="H14" s="151"/>
      <c r="I14" s="151"/>
      <c r="J14" s="160"/>
      <c r="K14" s="160"/>
      <c r="L14" s="185"/>
      <c r="M14" s="186"/>
    </row>
    <row r="15" spans="1:13" ht="18" customHeight="1">
      <c r="A15" s="150"/>
      <c r="B15" s="155"/>
      <c r="C15" s="158"/>
      <c r="D15" s="158"/>
      <c r="E15" s="151"/>
      <c r="F15" s="160"/>
      <c r="G15" s="151"/>
      <c r="H15" s="151"/>
      <c r="I15" s="151"/>
      <c r="J15" s="160"/>
      <c r="K15" s="160"/>
      <c r="L15" s="185"/>
      <c r="M15" s="186"/>
    </row>
    <row r="16" spans="1:13" ht="18" customHeight="1">
      <c r="A16" s="150"/>
      <c r="B16" s="155"/>
      <c r="C16" s="158"/>
      <c r="D16" s="158"/>
      <c r="E16" s="151"/>
      <c r="F16" s="160"/>
      <c r="G16" s="151"/>
      <c r="H16" s="151"/>
      <c r="I16" s="151"/>
      <c r="J16" s="160"/>
      <c r="K16" s="160"/>
      <c r="L16" s="185"/>
      <c r="M16" s="186"/>
    </row>
    <row r="17" spans="1:13" ht="18" customHeight="1">
      <c r="A17" s="150"/>
      <c r="B17" s="155"/>
      <c r="C17" s="158"/>
      <c r="D17" s="158"/>
      <c r="E17" s="151"/>
      <c r="F17" s="160"/>
      <c r="G17" s="151"/>
      <c r="H17" s="151"/>
      <c r="I17" s="151"/>
      <c r="J17" s="160"/>
      <c r="K17" s="160"/>
      <c r="L17" s="185"/>
      <c r="M17" s="186"/>
    </row>
    <row r="18" spans="1:13" ht="18" customHeight="1">
      <c r="A18" s="150"/>
      <c r="B18" s="155"/>
      <c r="C18" s="158"/>
      <c r="D18" s="158"/>
      <c r="E18" s="151"/>
      <c r="F18" s="160"/>
      <c r="G18" s="151"/>
      <c r="H18" s="151"/>
      <c r="I18" s="151"/>
      <c r="J18" s="160"/>
      <c r="K18" s="160"/>
      <c r="L18" s="185"/>
      <c r="M18" s="186"/>
    </row>
    <row r="19" spans="1:13" ht="18" customHeight="1">
      <c r="A19" s="150"/>
      <c r="B19" s="155"/>
      <c r="C19" s="158"/>
      <c r="D19" s="158"/>
      <c r="E19" s="151"/>
      <c r="F19" s="160"/>
      <c r="G19" s="151"/>
      <c r="H19" s="151"/>
      <c r="I19" s="151"/>
      <c r="J19" s="160"/>
      <c r="K19" s="160"/>
      <c r="L19" s="185"/>
      <c r="M19" s="186"/>
    </row>
    <row r="20" spans="1:13" ht="18" customHeight="1">
      <c r="A20" s="150"/>
      <c r="B20" s="154"/>
      <c r="C20" s="159"/>
      <c r="D20" s="159"/>
      <c r="E20" s="152"/>
      <c r="F20" s="126"/>
      <c r="G20" s="152"/>
      <c r="H20" s="152"/>
      <c r="I20" s="152"/>
      <c r="J20" s="160"/>
      <c r="K20" s="126"/>
      <c r="L20" s="185"/>
      <c r="M20" s="186"/>
    </row>
    <row r="21" spans="1:13" ht="18" customHeight="1">
      <c r="A21" s="150"/>
      <c r="B21" s="154"/>
      <c r="C21" s="159"/>
      <c r="D21" s="159"/>
      <c r="E21" s="152"/>
      <c r="F21" s="126"/>
      <c r="G21" s="152"/>
      <c r="H21" s="152"/>
      <c r="I21" s="152"/>
      <c r="J21" s="160"/>
      <c r="K21" s="126"/>
      <c r="L21" s="185"/>
      <c r="M21" s="186"/>
    </row>
    <row r="22" spans="1:13" ht="18" customHeight="1">
      <c r="A22" s="150"/>
      <c r="B22" s="154"/>
      <c r="C22" s="159"/>
      <c r="D22" s="159"/>
      <c r="E22" s="152"/>
      <c r="F22" s="126"/>
      <c r="G22" s="152"/>
      <c r="H22" s="152"/>
      <c r="I22" s="152"/>
      <c r="J22" s="160"/>
      <c r="K22" s="126"/>
      <c r="L22" s="185"/>
      <c r="M22" s="186"/>
    </row>
    <row r="23" spans="1:13" ht="18" customHeight="1">
      <c r="A23" s="150"/>
      <c r="B23" s="126"/>
      <c r="C23" s="159"/>
      <c r="D23" s="159"/>
      <c r="E23" s="152"/>
      <c r="F23" s="126"/>
      <c r="G23" s="152"/>
      <c r="H23" s="152"/>
      <c r="I23" s="152"/>
      <c r="J23" s="160"/>
      <c r="K23" s="126"/>
      <c r="L23" s="185"/>
      <c r="M23" s="186"/>
    </row>
    <row r="24" spans="1:13" ht="18" customHeight="1">
      <c r="A24" s="150"/>
      <c r="B24" s="126"/>
      <c r="C24" s="159"/>
      <c r="D24" s="159"/>
      <c r="E24" s="152"/>
      <c r="F24" s="126"/>
      <c r="G24" s="152"/>
      <c r="H24" s="152"/>
      <c r="I24" s="152"/>
      <c r="J24" s="160"/>
      <c r="K24" s="126"/>
      <c r="L24" s="185"/>
      <c r="M24" s="186"/>
    </row>
    <row r="25" spans="1:13" ht="18" customHeight="1">
      <c r="A25" s="150"/>
      <c r="B25" s="126"/>
      <c r="C25" s="159"/>
      <c r="D25" s="159"/>
      <c r="E25" s="152"/>
      <c r="F25" s="126"/>
      <c r="G25" s="152"/>
      <c r="H25" s="152"/>
      <c r="I25" s="152"/>
      <c r="J25" s="160"/>
      <c r="K25" s="126"/>
      <c r="L25" s="185"/>
      <c r="M25" s="186"/>
    </row>
    <row r="26" spans="1:13" ht="18" customHeight="1">
      <c r="A26" s="150"/>
      <c r="B26" s="126"/>
      <c r="C26" s="159"/>
      <c r="D26" s="159"/>
      <c r="E26" s="152"/>
      <c r="F26" s="126"/>
      <c r="G26" s="152"/>
      <c r="H26" s="152"/>
      <c r="I26" s="152"/>
      <c r="J26" s="160"/>
      <c r="K26" s="126"/>
      <c r="L26" s="185"/>
      <c r="M26" s="186"/>
    </row>
    <row r="27" spans="1:13" ht="18" customHeight="1">
      <c r="A27" s="150"/>
      <c r="B27" s="126"/>
      <c r="C27" s="159"/>
      <c r="D27" s="159"/>
      <c r="E27" s="152"/>
      <c r="F27" s="126"/>
      <c r="G27" s="152"/>
      <c r="H27" s="152"/>
      <c r="I27" s="152"/>
      <c r="J27" s="160"/>
      <c r="K27" s="126"/>
      <c r="L27" s="185"/>
      <c r="M27" s="186"/>
    </row>
    <row r="28" spans="1:13" ht="18" customHeight="1">
      <c r="A28" s="150"/>
      <c r="B28" s="126"/>
      <c r="C28" s="159"/>
      <c r="D28" s="159"/>
      <c r="E28" s="152"/>
      <c r="F28" s="126"/>
      <c r="G28" s="152"/>
      <c r="H28" s="152"/>
      <c r="I28" s="152"/>
      <c r="J28" s="160"/>
      <c r="K28" s="126"/>
      <c r="L28" s="185"/>
      <c r="M28" s="186"/>
    </row>
    <row r="29" spans="1:13" ht="18" customHeight="1">
      <c r="A29" s="161"/>
      <c r="B29" s="126"/>
      <c r="C29" s="159"/>
      <c r="D29" s="159"/>
      <c r="E29" s="152"/>
      <c r="F29" s="126"/>
      <c r="G29" s="152"/>
      <c r="H29" s="152"/>
      <c r="I29" s="152"/>
      <c r="J29" s="160"/>
      <c r="K29" s="126"/>
      <c r="L29" s="185"/>
      <c r="M29" s="186"/>
    </row>
    <row r="30" spans="1:13" ht="18" customHeight="1">
      <c r="A30" s="150"/>
      <c r="B30" s="154"/>
      <c r="C30" s="159"/>
      <c r="D30" s="159"/>
      <c r="E30" s="152"/>
      <c r="F30" s="126"/>
      <c r="G30" s="152"/>
      <c r="H30" s="152"/>
      <c r="I30" s="152"/>
      <c r="J30" s="160"/>
      <c r="K30" s="126"/>
      <c r="L30" s="185"/>
      <c r="M30" s="186"/>
    </row>
    <row r="31" spans="1:13" ht="18" customHeight="1">
      <c r="A31" s="150"/>
      <c r="B31" s="126"/>
      <c r="C31" s="159"/>
      <c r="D31" s="159"/>
      <c r="E31" s="152"/>
      <c r="F31" s="126"/>
      <c r="G31" s="152"/>
      <c r="H31" s="152"/>
      <c r="I31" s="152"/>
      <c r="J31" s="160"/>
      <c r="K31" s="126"/>
      <c r="L31" s="185"/>
      <c r="M31" s="186"/>
    </row>
    <row r="32" spans="1:13" ht="18" customHeight="1">
      <c r="A32" s="150"/>
      <c r="B32" s="126"/>
      <c r="C32" s="159"/>
      <c r="D32" s="159"/>
      <c r="E32" s="152"/>
      <c r="F32" s="126"/>
      <c r="G32" s="152"/>
      <c r="H32" s="152"/>
      <c r="I32" s="152"/>
      <c r="J32" s="160"/>
      <c r="K32" s="126"/>
      <c r="L32" s="185"/>
      <c r="M32" s="186"/>
    </row>
    <row r="33" spans="1:13" ht="18" customHeight="1">
      <c r="A33" s="150"/>
      <c r="B33" s="154"/>
      <c r="C33" s="159"/>
      <c r="D33" s="159"/>
      <c r="E33" s="152"/>
      <c r="F33" s="126"/>
      <c r="G33" s="152"/>
      <c r="H33" s="152"/>
      <c r="I33" s="152"/>
      <c r="J33" s="160"/>
      <c r="K33" s="126"/>
      <c r="L33" s="185"/>
      <c r="M33" s="186"/>
    </row>
    <row r="34" spans="1:13" ht="18" customHeight="1">
      <c r="A34" s="150"/>
      <c r="B34" s="126"/>
      <c r="C34" s="159"/>
      <c r="D34" s="159"/>
      <c r="E34" s="152"/>
      <c r="F34" s="126"/>
      <c r="G34" s="169"/>
      <c r="H34" s="169"/>
      <c r="I34" s="169"/>
      <c r="J34" s="160"/>
      <c r="K34" s="126"/>
      <c r="L34" s="185"/>
      <c r="M34" s="186"/>
    </row>
    <row r="35" spans="1:13" ht="18" customHeight="1">
      <c r="A35" s="150"/>
      <c r="B35" s="126"/>
      <c r="C35" s="159"/>
      <c r="D35" s="159"/>
      <c r="E35" s="152"/>
      <c r="F35" s="126"/>
      <c r="G35" s="169"/>
      <c r="H35" s="169"/>
      <c r="I35" s="169"/>
      <c r="J35" s="160"/>
      <c r="K35" s="126"/>
      <c r="L35" s="185"/>
      <c r="M35" s="186"/>
    </row>
    <row r="36" spans="1:13" ht="18" customHeight="1">
      <c r="A36" s="150"/>
      <c r="B36" s="127"/>
      <c r="C36" s="180"/>
      <c r="D36" s="180"/>
      <c r="E36" s="181"/>
      <c r="F36" s="127"/>
      <c r="G36" s="169"/>
      <c r="H36" s="169"/>
      <c r="I36" s="169"/>
      <c r="J36" s="160"/>
      <c r="K36" s="127"/>
      <c r="L36" s="185"/>
      <c r="M36" s="186"/>
    </row>
    <row r="37" spans="1:13" ht="18" customHeight="1">
      <c r="A37" s="150"/>
      <c r="B37" s="126"/>
      <c r="C37" s="159"/>
      <c r="D37" s="159"/>
      <c r="E37" s="152"/>
      <c r="F37" s="126"/>
      <c r="G37" s="152"/>
      <c r="H37" s="152"/>
      <c r="I37" s="152"/>
      <c r="J37" s="160"/>
      <c r="K37" s="126"/>
      <c r="M37" s="186"/>
    </row>
    <row r="38" spans="1:13" ht="18" customHeight="1">
      <c r="A38" s="150"/>
      <c r="B38" s="126"/>
      <c r="C38" s="159"/>
      <c r="D38" s="159"/>
      <c r="E38" s="152"/>
      <c r="F38" s="126"/>
      <c r="G38" s="152"/>
      <c r="H38" s="152"/>
      <c r="I38" s="152"/>
      <c r="J38" s="160"/>
      <c r="K38" s="126"/>
      <c r="M38" s="186"/>
    </row>
    <row r="39" spans="1:13" ht="18" customHeight="1">
      <c r="A39" s="150"/>
      <c r="B39" s="126"/>
      <c r="C39" s="159"/>
      <c r="D39" s="159"/>
      <c r="E39" s="152"/>
      <c r="F39" s="126"/>
      <c r="G39" s="152"/>
      <c r="H39" s="152"/>
      <c r="I39" s="152"/>
      <c r="J39" s="160"/>
      <c r="K39" s="126"/>
      <c r="M39" s="186"/>
    </row>
    <row r="40" spans="1:13" ht="18" customHeight="1">
      <c r="A40" s="150"/>
      <c r="B40" s="126"/>
      <c r="C40" s="159"/>
      <c r="D40" s="159"/>
      <c r="E40" s="152"/>
      <c r="F40" s="126"/>
      <c r="G40" s="152"/>
      <c r="H40" s="152"/>
      <c r="I40" s="152"/>
      <c r="J40" s="160"/>
      <c r="K40" s="126"/>
      <c r="M40" s="186"/>
    </row>
    <row r="41" spans="1:13" ht="18" customHeight="1">
      <c r="A41" s="150"/>
      <c r="B41" s="126"/>
      <c r="C41" s="159"/>
      <c r="D41" s="159"/>
      <c r="E41" s="152"/>
      <c r="F41" s="126"/>
      <c r="G41" s="152"/>
      <c r="H41" s="152"/>
      <c r="I41" s="152"/>
      <c r="J41" s="160"/>
      <c r="K41" s="126"/>
      <c r="M41" s="186"/>
    </row>
    <row r="42" spans="1:13" ht="18" customHeight="1">
      <c r="A42" s="150"/>
      <c r="B42" s="126"/>
      <c r="C42" s="159"/>
      <c r="D42" s="159"/>
      <c r="E42" s="152"/>
      <c r="F42" s="126"/>
      <c r="G42" s="152"/>
      <c r="H42" s="152"/>
      <c r="I42" s="152"/>
      <c r="J42" s="160"/>
      <c r="K42" s="126"/>
      <c r="M42" s="186"/>
    </row>
    <row r="43" spans="1:13" ht="18" customHeight="1">
      <c r="A43" s="150"/>
      <c r="B43" s="126"/>
      <c r="C43" s="159"/>
      <c r="D43" s="159"/>
      <c r="E43" s="152"/>
      <c r="F43" s="126"/>
      <c r="G43" s="152"/>
      <c r="H43" s="152"/>
      <c r="I43" s="152"/>
      <c r="J43" s="160"/>
      <c r="K43" s="160"/>
      <c r="M43" s="186"/>
    </row>
    <row r="44" spans="1:13" ht="18" customHeight="1">
      <c r="A44" s="150"/>
      <c r="B44" s="126"/>
      <c r="C44" s="159"/>
      <c r="D44" s="159"/>
      <c r="E44" s="152"/>
      <c r="F44" s="126"/>
      <c r="G44" s="152"/>
      <c r="H44" s="152"/>
      <c r="I44" s="152"/>
      <c r="J44" s="160"/>
      <c r="K44" s="160"/>
      <c r="M44" s="186"/>
    </row>
    <row r="45" spans="1:13" ht="18" customHeight="1">
      <c r="A45" s="150"/>
      <c r="B45" s="126"/>
      <c r="C45" s="159"/>
      <c r="D45" s="159"/>
      <c r="E45" s="152"/>
      <c r="F45" s="126"/>
      <c r="G45" s="152"/>
      <c r="H45" s="152"/>
      <c r="I45" s="152"/>
      <c r="J45" s="160"/>
      <c r="K45" s="160"/>
      <c r="M45" s="186"/>
    </row>
    <row r="46" spans="1:13" ht="18" customHeight="1">
      <c r="A46" s="150"/>
      <c r="B46" s="126"/>
      <c r="C46" s="159"/>
      <c r="D46" s="159"/>
      <c r="E46" s="152"/>
      <c r="F46" s="126"/>
      <c r="G46" s="152"/>
      <c r="H46" s="152"/>
      <c r="I46" s="152"/>
      <c r="J46" s="160"/>
      <c r="K46" s="160"/>
      <c r="M46" s="186"/>
    </row>
    <row r="47" spans="1:13" ht="18" customHeight="1">
      <c r="A47" s="110"/>
      <c r="B47" s="126"/>
      <c r="C47" s="159"/>
      <c r="D47" s="159"/>
      <c r="E47" s="152"/>
      <c r="F47" s="126"/>
      <c r="G47" s="152"/>
      <c r="H47" s="152"/>
      <c r="I47" s="152"/>
      <c r="J47" s="160"/>
      <c r="K47" s="160"/>
      <c r="M47" s="186"/>
    </row>
    <row r="48" spans="1:13" ht="18" customHeight="1">
      <c r="A48" s="150"/>
      <c r="B48" s="154"/>
      <c r="C48" s="159"/>
      <c r="D48" s="159"/>
      <c r="E48" s="152"/>
      <c r="F48" s="154"/>
      <c r="G48" s="152"/>
      <c r="H48" s="152"/>
      <c r="I48" s="152"/>
      <c r="J48" s="160"/>
      <c r="K48" s="160"/>
      <c r="M48" s="186"/>
    </row>
    <row r="49" spans="1:13" ht="18" customHeight="1">
      <c r="A49" s="150"/>
      <c r="B49" s="154"/>
      <c r="C49" s="159"/>
      <c r="D49" s="159"/>
      <c r="E49" s="152"/>
      <c r="F49" s="126"/>
      <c r="G49" s="152"/>
      <c r="H49" s="152"/>
      <c r="I49" s="152"/>
      <c r="J49" s="160"/>
      <c r="K49" s="160"/>
      <c r="M49" s="186"/>
    </row>
    <row r="50" spans="1:13" ht="18" customHeight="1">
      <c r="A50" s="110"/>
      <c r="B50" s="154"/>
      <c r="C50" s="159"/>
      <c r="D50" s="159"/>
      <c r="E50" s="152"/>
      <c r="F50" s="154"/>
      <c r="G50" s="152"/>
      <c r="H50" s="152"/>
      <c r="I50" s="152"/>
      <c r="J50" s="160"/>
      <c r="K50" s="160"/>
      <c r="M50" s="186"/>
    </row>
    <row r="51" spans="1:13" ht="18" customHeight="1">
      <c r="A51" s="110"/>
      <c r="B51" s="126"/>
      <c r="C51" s="159"/>
      <c r="D51" s="159"/>
      <c r="E51" s="152"/>
      <c r="F51" s="126"/>
      <c r="G51" s="152"/>
      <c r="H51" s="152"/>
      <c r="I51" s="152"/>
      <c r="J51" s="160"/>
      <c r="K51" s="160"/>
      <c r="M51" s="186"/>
    </row>
    <row r="52" spans="1:13" ht="18" customHeight="1">
      <c r="A52" s="110"/>
      <c r="B52" s="154"/>
      <c r="C52" s="159"/>
      <c r="D52" s="159"/>
      <c r="E52" s="152"/>
      <c r="F52" s="154"/>
      <c r="G52" s="152"/>
      <c r="H52" s="152"/>
      <c r="I52" s="152"/>
      <c r="J52" s="160"/>
      <c r="K52" s="160"/>
      <c r="M52" s="186"/>
    </row>
    <row r="53" spans="1:13" ht="18" customHeight="1">
      <c r="A53" s="110"/>
      <c r="B53" s="154"/>
      <c r="C53" s="159"/>
      <c r="D53" s="159"/>
      <c r="E53" s="152"/>
      <c r="F53" s="154"/>
      <c r="G53" s="152"/>
      <c r="H53" s="152"/>
      <c r="I53" s="152"/>
      <c r="J53" s="160"/>
      <c r="K53" s="160"/>
      <c r="M53" s="186"/>
    </row>
    <row r="54" spans="1:13" ht="18" customHeight="1">
      <c r="A54" s="110"/>
      <c r="B54" s="154"/>
      <c r="C54" s="159"/>
      <c r="D54" s="159"/>
      <c r="E54" s="152"/>
      <c r="F54" s="154"/>
      <c r="G54" s="152"/>
      <c r="H54" s="152"/>
      <c r="I54" s="152"/>
      <c r="J54" s="160"/>
      <c r="K54" s="160"/>
      <c r="M54" s="186"/>
    </row>
    <row r="55" spans="1:13" ht="18" customHeight="1">
      <c r="A55" s="110"/>
      <c r="B55" s="154"/>
      <c r="C55" s="159"/>
      <c r="D55" s="159"/>
      <c r="E55" s="152"/>
      <c r="F55" s="154"/>
      <c r="G55" s="152"/>
      <c r="H55" s="152"/>
      <c r="I55" s="152"/>
      <c r="J55" s="160"/>
      <c r="K55" s="160"/>
      <c r="M55" s="186"/>
    </row>
    <row r="56" spans="1:13" ht="18" customHeight="1">
      <c r="A56" s="110"/>
      <c r="B56" s="126"/>
      <c r="C56" s="159"/>
      <c r="D56" s="159"/>
      <c r="E56" s="152"/>
      <c r="F56" s="126"/>
      <c r="G56" s="152"/>
      <c r="H56" s="152"/>
      <c r="I56" s="152"/>
      <c r="J56" s="160"/>
      <c r="K56" s="160"/>
      <c r="M56" s="186"/>
    </row>
    <row r="57" spans="1:13" ht="18" customHeight="1">
      <c r="A57" s="110"/>
      <c r="B57" s="154"/>
      <c r="C57" s="159"/>
      <c r="D57" s="159"/>
      <c r="E57" s="152"/>
      <c r="F57" s="154"/>
      <c r="G57" s="152"/>
      <c r="H57" s="152"/>
      <c r="I57" s="152"/>
      <c r="J57" s="160"/>
      <c r="K57" s="160"/>
      <c r="M57" s="186"/>
    </row>
    <row r="58" spans="1:13" ht="18" customHeight="1">
      <c r="A58" s="110"/>
      <c r="B58" s="126"/>
      <c r="C58" s="159"/>
      <c r="D58" s="159"/>
      <c r="E58" s="152"/>
      <c r="F58" s="126"/>
      <c r="G58" s="152"/>
      <c r="H58" s="152"/>
      <c r="I58" s="152"/>
      <c r="J58" s="160"/>
      <c r="K58" s="160"/>
      <c r="M58" s="186"/>
    </row>
    <row r="59" spans="1:13" ht="18" customHeight="1">
      <c r="A59" s="110"/>
      <c r="B59" s="154"/>
      <c r="C59" s="159"/>
      <c r="D59" s="159"/>
      <c r="E59" s="152"/>
      <c r="F59" s="154"/>
      <c r="G59" s="152"/>
      <c r="H59" s="152"/>
      <c r="I59" s="152"/>
      <c r="J59" s="160"/>
      <c r="K59" s="160"/>
      <c r="M59" s="186"/>
    </row>
    <row r="60" spans="1:13" ht="18" customHeight="1">
      <c r="A60" s="110"/>
      <c r="B60" s="126"/>
      <c r="C60" s="159"/>
      <c r="D60" s="159"/>
      <c r="E60" s="152"/>
      <c r="F60" s="126"/>
      <c r="G60" s="152"/>
      <c r="H60" s="152"/>
      <c r="I60" s="152"/>
      <c r="J60" s="160"/>
      <c r="K60" s="160"/>
      <c r="M60" s="186"/>
    </row>
    <row r="61" spans="1:13" ht="18" customHeight="1">
      <c r="A61" s="110"/>
      <c r="B61" s="126"/>
      <c r="C61" s="159"/>
      <c r="D61" s="159"/>
      <c r="E61" s="152"/>
      <c r="F61" s="126"/>
      <c r="G61" s="152"/>
      <c r="H61" s="152"/>
      <c r="I61" s="152"/>
      <c r="J61" s="160"/>
      <c r="K61" s="160"/>
      <c r="M61" s="186"/>
    </row>
    <row r="62" spans="1:13" ht="18" customHeight="1">
      <c r="A62" s="110"/>
      <c r="B62" s="126"/>
      <c r="C62" s="159"/>
      <c r="D62" s="159"/>
      <c r="E62" s="152"/>
      <c r="F62" s="126"/>
      <c r="G62" s="152"/>
      <c r="H62" s="152"/>
      <c r="I62" s="152"/>
      <c r="J62" s="160"/>
      <c r="K62" s="160"/>
      <c r="M62" s="186"/>
    </row>
    <row r="63" spans="1:13" ht="18" customHeight="1">
      <c r="A63" s="110"/>
      <c r="B63" s="126"/>
      <c r="C63" s="159"/>
      <c r="D63" s="159"/>
      <c r="E63" s="152"/>
      <c r="F63" s="126"/>
      <c r="G63" s="152"/>
      <c r="H63" s="152"/>
      <c r="I63" s="152"/>
      <c r="J63" s="160"/>
      <c r="K63" s="160"/>
      <c r="M63" s="186"/>
    </row>
    <row r="64" spans="1:13" ht="18" customHeight="1">
      <c r="A64" s="141"/>
      <c r="B64" s="167"/>
      <c r="C64" s="168"/>
      <c r="D64" s="168"/>
      <c r="E64" s="169"/>
      <c r="F64" s="167"/>
      <c r="G64" s="169"/>
      <c r="H64" s="169"/>
      <c r="I64" s="169"/>
      <c r="J64" s="167"/>
      <c r="K64" s="167"/>
    </row>
    <row r="65" spans="1:11" ht="18" customHeight="1">
      <c r="A65" s="141"/>
      <c r="B65" s="142"/>
      <c r="C65" s="143"/>
      <c r="D65" s="143"/>
      <c r="E65" s="142"/>
      <c r="F65" s="142"/>
      <c r="G65" s="142"/>
      <c r="H65" s="142"/>
      <c r="I65" s="142"/>
      <c r="J65" s="142"/>
      <c r="K65" s="142"/>
    </row>
    <row r="66" spans="1:11" ht="18" customHeight="1" thickBot="1">
      <c r="A66" s="138"/>
      <c r="B66" s="133">
        <f>SUM(B12:B63)</f>
        <v>0</v>
      </c>
      <c r="C66" s="134"/>
      <c r="D66" s="134"/>
      <c r="E66" s="133">
        <f>SUM(E12:E65)</f>
        <v>0</v>
      </c>
      <c r="F66" s="133">
        <f>SUM(F12:F65)</f>
        <v>0</v>
      </c>
      <c r="G66" s="133"/>
      <c r="H66" s="133"/>
      <c r="I66" s="133"/>
      <c r="J66" s="133">
        <f>SUM(J12:J65)</f>
        <v>0</v>
      </c>
      <c r="K66" s="133">
        <f>SUM(K12:K65)</f>
        <v>0</v>
      </c>
    </row>
    <row r="67" spans="1:11" ht="13.5" thickTop="1"/>
    <row r="68" spans="1:11">
      <c r="A68" s="23"/>
    </row>
    <row r="73" spans="1:11">
      <c r="A73" s="104"/>
      <c r="B73" s="2"/>
      <c r="C73" s="106"/>
      <c r="D73" s="106"/>
      <c r="E73" s="2"/>
      <c r="F73" s="2"/>
      <c r="G73" s="2"/>
      <c r="H73" s="2"/>
      <c r="I73" s="2"/>
      <c r="J73" s="2"/>
      <c r="K73" s="105"/>
    </row>
    <row r="74" spans="1:11">
      <c r="A74" s="97">
        <v>21</v>
      </c>
      <c r="F74" s="97" t="s">
        <v>167</v>
      </c>
    </row>
  </sheetData>
  <mergeCells count="3">
    <mergeCell ref="A6:K6"/>
    <mergeCell ref="A8:K8"/>
    <mergeCell ref="A4:K4"/>
  </mergeCells>
  <phoneticPr fontId="23" type="noConversion"/>
  <printOptions horizontalCentered="1"/>
  <pageMargins left="0.75" right="0.25" top="0.75" bottom="0.5" header="0.5" footer="0.5"/>
  <pageSetup scale="56" orientation="portrait" horizontalDpi="4294967292" verticalDpi="4294967292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8">
    <pageSetUpPr fitToPage="1"/>
  </sheetPr>
  <dimension ref="A1:M74"/>
  <sheetViews>
    <sheetView showGridLines="0" zoomScaleNormal="100" workbookViewId="0">
      <selection activeCell="B19" sqref="B19"/>
    </sheetView>
  </sheetViews>
  <sheetFormatPr defaultRowHeight="12.75"/>
  <cols>
    <col min="1" max="1" width="29.5703125" customWidth="1"/>
    <col min="2" max="2" width="13" customWidth="1"/>
    <col min="3" max="3" width="11.42578125" style="5" customWidth="1"/>
    <col min="4" max="4" width="8.42578125" style="5" customWidth="1"/>
    <col min="5" max="5" width="13.42578125" customWidth="1"/>
    <col min="6" max="6" width="14.42578125" hidden="1" customWidth="1"/>
    <col min="7" max="7" width="7.5703125" hidden="1" customWidth="1"/>
    <col min="8" max="9" width="9.42578125" hidden="1" customWidth="1"/>
    <col min="10" max="10" width="14.42578125" customWidth="1"/>
    <col min="11" max="11" width="15.42578125" customWidth="1"/>
  </cols>
  <sheetData>
    <row r="1" spans="1:13" ht="19.5">
      <c r="A1" s="100" t="s">
        <v>0</v>
      </c>
      <c r="B1" s="100"/>
      <c r="C1" s="102"/>
      <c r="J1" s="100" t="s">
        <v>159</v>
      </c>
    </row>
    <row r="2" spans="1:13" ht="9" customHeight="1">
      <c r="C2"/>
      <c r="D2"/>
    </row>
    <row r="3" spans="1:13" ht="18.75" customHeight="1">
      <c r="C3"/>
      <c r="D3"/>
    </row>
    <row r="4" spans="1:13" ht="15.75">
      <c r="A4" s="1155" t="s">
        <v>2</v>
      </c>
      <c r="B4" s="1155"/>
      <c r="C4" s="1155"/>
      <c r="D4" s="1155"/>
      <c r="E4" s="1155"/>
      <c r="F4" s="1155"/>
      <c r="G4" s="1155"/>
      <c r="H4" s="1155"/>
      <c r="I4" s="1155"/>
      <c r="J4" s="1155"/>
      <c r="K4" s="1155"/>
    </row>
    <row r="5" spans="1:13">
      <c r="A5" s="681"/>
      <c r="B5" s="681"/>
      <c r="C5" s="681"/>
      <c r="D5" s="681"/>
      <c r="E5" s="681"/>
    </row>
    <row r="6" spans="1:13">
      <c r="A6" s="1156" t="s">
        <v>168</v>
      </c>
      <c r="B6" s="1156"/>
      <c r="C6" s="1156"/>
      <c r="D6" s="1156"/>
      <c r="E6" s="1156"/>
      <c r="F6" s="1156"/>
      <c r="G6" s="1156"/>
      <c r="H6" s="1156"/>
      <c r="I6" s="1156"/>
      <c r="J6" s="1156"/>
      <c r="K6" s="1156"/>
    </row>
    <row r="7" spans="1:13" ht="9" customHeight="1">
      <c r="A7" s="680"/>
      <c r="B7" s="680"/>
      <c r="C7" s="680"/>
      <c r="D7" s="680"/>
      <c r="E7" s="680"/>
      <c r="F7" s="680"/>
      <c r="G7" s="680"/>
      <c r="H7" s="680"/>
      <c r="I7" s="680"/>
      <c r="J7" s="680"/>
      <c r="K7" s="680"/>
    </row>
    <row r="8" spans="1:13">
      <c r="A8" s="1169" t="s">
        <v>143</v>
      </c>
      <c r="B8" s="1158"/>
      <c r="C8" s="1158"/>
      <c r="D8" s="1158"/>
      <c r="E8" s="1158"/>
      <c r="F8" s="1158"/>
      <c r="G8" s="1158"/>
      <c r="H8" s="1158"/>
      <c r="I8" s="1158"/>
      <c r="J8" s="1158"/>
      <c r="K8" s="1158"/>
    </row>
    <row r="10" spans="1:13" ht="38.25">
      <c r="A10" s="44" t="s">
        <v>169</v>
      </c>
      <c r="B10" s="44" t="s">
        <v>11</v>
      </c>
      <c r="C10" s="119" t="s">
        <v>161</v>
      </c>
      <c r="D10" s="119" t="s">
        <v>162</v>
      </c>
      <c r="E10" s="119" t="s">
        <v>163</v>
      </c>
      <c r="F10" s="119" t="s">
        <v>164</v>
      </c>
      <c r="G10" s="44"/>
      <c r="H10" s="44"/>
      <c r="I10" s="44"/>
      <c r="J10" s="119" t="s">
        <v>165</v>
      </c>
      <c r="K10" s="119" t="s">
        <v>166</v>
      </c>
    </row>
    <row r="11" spans="1:13" s="8" customFormat="1" ht="18.75" customHeight="1">
      <c r="A11" s="280" t="s">
        <v>170</v>
      </c>
      <c r="B11" s="281">
        <v>173042.12</v>
      </c>
      <c r="C11" s="282">
        <v>5</v>
      </c>
      <c r="D11" s="283">
        <f>5*12</f>
        <v>60</v>
      </c>
      <c r="E11" s="284">
        <f>+B11/D11</f>
        <v>2884.0353333333333</v>
      </c>
      <c r="F11" s="285"/>
      <c r="G11" s="286"/>
      <c r="H11" s="286"/>
      <c r="I11" s="286"/>
      <c r="J11" s="284">
        <f>+E11*1</f>
        <v>2884.0353333333333</v>
      </c>
      <c r="K11" s="290">
        <f>-E11*1</f>
        <v>-2884.0353333333333</v>
      </c>
      <c r="L11" s="333"/>
      <c r="M11" s="333"/>
    </row>
    <row r="12" spans="1:13" ht="18.75" customHeight="1">
      <c r="A12" s="110"/>
      <c r="B12" s="154"/>
      <c r="C12" s="158"/>
      <c r="D12" s="158"/>
      <c r="E12" s="151"/>
      <c r="F12" s="160"/>
      <c r="G12" s="151"/>
      <c r="H12" s="151"/>
      <c r="I12" s="151"/>
      <c r="J12" s="160"/>
      <c r="K12" s="160"/>
      <c r="L12" s="185"/>
      <c r="M12" s="186"/>
    </row>
    <row r="13" spans="1:13" ht="18" customHeight="1">
      <c r="A13" s="110"/>
      <c r="B13" s="155"/>
      <c r="C13" s="158"/>
      <c r="D13" s="158"/>
      <c r="E13" s="151"/>
      <c r="F13" s="160"/>
      <c r="G13" s="151"/>
      <c r="H13" s="151"/>
      <c r="I13" s="151"/>
      <c r="J13" s="160"/>
      <c r="K13" s="160"/>
      <c r="L13" s="185"/>
      <c r="M13" s="186"/>
    </row>
    <row r="14" spans="1:13" ht="18" customHeight="1">
      <c r="A14" s="150"/>
      <c r="B14" s="155"/>
      <c r="C14" s="158"/>
      <c r="D14" s="158"/>
      <c r="E14" s="151"/>
      <c r="F14" s="160"/>
      <c r="G14" s="151"/>
      <c r="H14" s="151"/>
      <c r="I14" s="151"/>
      <c r="J14" s="160"/>
      <c r="K14" s="160"/>
      <c r="L14" s="185"/>
      <c r="M14" s="186"/>
    </row>
    <row r="15" spans="1:13" ht="18" customHeight="1">
      <c r="A15" s="150"/>
      <c r="B15" s="155"/>
      <c r="C15" s="158"/>
      <c r="D15" s="158"/>
      <c r="E15" s="151"/>
      <c r="F15" s="160"/>
      <c r="G15" s="151"/>
      <c r="H15" s="151"/>
      <c r="I15" s="151"/>
      <c r="J15" s="160"/>
      <c r="K15" s="160"/>
      <c r="L15" s="185"/>
      <c r="M15" s="186"/>
    </row>
    <row r="16" spans="1:13" ht="18" customHeight="1">
      <c r="A16" s="150"/>
      <c r="B16" s="155"/>
      <c r="C16" s="158"/>
      <c r="D16" s="158"/>
      <c r="E16" s="151"/>
      <c r="F16" s="160"/>
      <c r="G16" s="151"/>
      <c r="H16" s="151"/>
      <c r="I16" s="151"/>
      <c r="J16" s="160"/>
      <c r="K16" s="160"/>
      <c r="L16" s="185"/>
      <c r="M16" s="186"/>
    </row>
    <row r="17" spans="1:13" ht="18" customHeight="1">
      <c r="A17" s="150"/>
      <c r="B17" s="155"/>
      <c r="C17" s="158"/>
      <c r="D17" s="158"/>
      <c r="E17" s="151"/>
      <c r="F17" s="160"/>
      <c r="G17" s="151"/>
      <c r="H17" s="151"/>
      <c r="I17" s="151"/>
      <c r="J17" s="160"/>
      <c r="K17" s="160"/>
      <c r="L17" s="185"/>
      <c r="M17" s="186"/>
    </row>
    <row r="18" spans="1:13" ht="18" customHeight="1">
      <c r="A18" s="150"/>
      <c r="B18" s="155"/>
      <c r="C18" s="158"/>
      <c r="D18" s="158"/>
      <c r="E18" s="151"/>
      <c r="F18" s="160"/>
      <c r="G18" s="151"/>
      <c r="H18" s="151"/>
      <c r="I18" s="151"/>
      <c r="J18" s="160"/>
      <c r="K18" s="160"/>
      <c r="L18" s="185"/>
      <c r="M18" s="186"/>
    </row>
    <row r="19" spans="1:13" ht="18" customHeight="1">
      <c r="A19" s="150"/>
      <c r="B19" s="155"/>
      <c r="C19" s="158"/>
      <c r="D19" s="158"/>
      <c r="E19" s="151"/>
      <c r="F19" s="160"/>
      <c r="G19" s="151"/>
      <c r="H19" s="151"/>
      <c r="I19" s="151"/>
      <c r="J19" s="160"/>
      <c r="K19" s="160"/>
      <c r="L19" s="185"/>
      <c r="M19" s="186"/>
    </row>
    <row r="20" spans="1:13" ht="18" customHeight="1">
      <c r="A20" s="150"/>
      <c r="B20" s="154"/>
      <c r="C20" s="159"/>
      <c r="D20" s="159"/>
      <c r="E20" s="152"/>
      <c r="F20" s="126"/>
      <c r="G20" s="152"/>
      <c r="H20" s="152"/>
      <c r="I20" s="152"/>
      <c r="J20" s="160"/>
      <c r="K20" s="126"/>
      <c r="L20" s="185"/>
      <c r="M20" s="186"/>
    </row>
    <row r="21" spans="1:13" ht="18" customHeight="1">
      <c r="A21" s="150"/>
      <c r="B21" s="154"/>
      <c r="C21" s="159"/>
      <c r="D21" s="159"/>
      <c r="E21" s="152"/>
      <c r="F21" s="126"/>
      <c r="G21" s="152"/>
      <c r="H21" s="152"/>
      <c r="I21" s="152"/>
      <c r="J21" s="160"/>
      <c r="K21" s="126"/>
      <c r="L21" s="185"/>
      <c r="M21" s="186"/>
    </row>
    <row r="22" spans="1:13" ht="18" customHeight="1">
      <c r="A22" s="150"/>
      <c r="B22" s="154"/>
      <c r="C22" s="159"/>
      <c r="D22" s="159"/>
      <c r="E22" s="152"/>
      <c r="F22" s="126"/>
      <c r="G22" s="152"/>
      <c r="H22" s="152"/>
      <c r="I22" s="152"/>
      <c r="J22" s="160"/>
      <c r="K22" s="126"/>
      <c r="L22" s="185"/>
      <c r="M22" s="186"/>
    </row>
    <row r="23" spans="1:13" ht="18" customHeight="1">
      <c r="A23" s="150"/>
      <c r="B23" s="126"/>
      <c r="C23" s="159"/>
      <c r="D23" s="159"/>
      <c r="E23" s="152"/>
      <c r="F23" s="126"/>
      <c r="G23" s="152"/>
      <c r="H23" s="152"/>
      <c r="I23" s="152"/>
      <c r="J23" s="160"/>
      <c r="K23" s="126"/>
      <c r="L23" s="185"/>
      <c r="M23" s="186"/>
    </row>
    <row r="24" spans="1:13" ht="18" customHeight="1">
      <c r="A24" s="150"/>
      <c r="B24" s="126"/>
      <c r="C24" s="159"/>
      <c r="D24" s="159"/>
      <c r="E24" s="152"/>
      <c r="F24" s="126"/>
      <c r="G24" s="152"/>
      <c r="H24" s="152"/>
      <c r="I24" s="152"/>
      <c r="J24" s="160"/>
      <c r="K24" s="126"/>
      <c r="L24" s="185"/>
      <c r="M24" s="186"/>
    </row>
    <row r="25" spans="1:13" ht="18" customHeight="1">
      <c r="A25" s="150"/>
      <c r="B25" s="126"/>
      <c r="C25" s="159"/>
      <c r="D25" s="159"/>
      <c r="E25" s="152"/>
      <c r="F25" s="126"/>
      <c r="G25" s="152"/>
      <c r="H25" s="152"/>
      <c r="I25" s="152"/>
      <c r="J25" s="160"/>
      <c r="K25" s="126"/>
      <c r="L25" s="185"/>
      <c r="M25" s="186"/>
    </row>
    <row r="26" spans="1:13" ht="18" customHeight="1">
      <c r="A26" s="150"/>
      <c r="B26" s="126"/>
      <c r="C26" s="159"/>
      <c r="D26" s="159"/>
      <c r="E26" s="152"/>
      <c r="F26" s="126"/>
      <c r="G26" s="152"/>
      <c r="H26" s="152"/>
      <c r="I26" s="152"/>
      <c r="J26" s="160"/>
      <c r="K26" s="126"/>
      <c r="L26" s="185"/>
      <c r="M26" s="186"/>
    </row>
    <row r="27" spans="1:13" ht="18" customHeight="1">
      <c r="A27" s="150"/>
      <c r="B27" s="126"/>
      <c r="C27" s="159"/>
      <c r="D27" s="159"/>
      <c r="E27" s="152"/>
      <c r="F27" s="126"/>
      <c r="G27" s="152"/>
      <c r="H27" s="152"/>
      <c r="I27" s="152"/>
      <c r="J27" s="160"/>
      <c r="K27" s="126"/>
      <c r="L27" s="185"/>
      <c r="M27" s="186"/>
    </row>
    <row r="28" spans="1:13" ht="18" customHeight="1">
      <c r="A28" s="150"/>
      <c r="B28" s="126"/>
      <c r="C28" s="159"/>
      <c r="D28" s="159"/>
      <c r="E28" s="152"/>
      <c r="F28" s="126"/>
      <c r="G28" s="152"/>
      <c r="H28" s="152"/>
      <c r="I28" s="152"/>
      <c r="J28" s="160"/>
      <c r="K28" s="126"/>
      <c r="L28" s="185"/>
      <c r="M28" s="186"/>
    </row>
    <row r="29" spans="1:13" ht="18" customHeight="1">
      <c r="A29" s="161"/>
      <c r="B29" s="126"/>
      <c r="C29" s="159"/>
      <c r="D29" s="159"/>
      <c r="E29" s="152"/>
      <c r="F29" s="126"/>
      <c r="G29" s="152"/>
      <c r="H29" s="152"/>
      <c r="I29" s="152"/>
      <c r="J29" s="160"/>
      <c r="K29" s="126"/>
      <c r="L29" s="185"/>
      <c r="M29" s="186"/>
    </row>
    <row r="30" spans="1:13" ht="18" customHeight="1">
      <c r="A30" s="150"/>
      <c r="B30" s="154"/>
      <c r="C30" s="159"/>
      <c r="D30" s="159"/>
      <c r="E30" s="152"/>
      <c r="F30" s="126"/>
      <c r="G30" s="152"/>
      <c r="H30" s="152"/>
      <c r="I30" s="152"/>
      <c r="J30" s="160"/>
      <c r="K30" s="126"/>
      <c r="L30" s="185"/>
      <c r="M30" s="186"/>
    </row>
    <row r="31" spans="1:13" ht="18" customHeight="1">
      <c r="A31" s="150"/>
      <c r="B31" s="126"/>
      <c r="C31" s="159"/>
      <c r="D31" s="159"/>
      <c r="E31" s="152"/>
      <c r="F31" s="126"/>
      <c r="G31" s="152"/>
      <c r="H31" s="152"/>
      <c r="I31" s="152"/>
      <c r="J31" s="160"/>
      <c r="K31" s="126"/>
      <c r="L31" s="185"/>
      <c r="M31" s="186"/>
    </row>
    <row r="32" spans="1:13" ht="18" customHeight="1">
      <c r="A32" s="150"/>
      <c r="B32" s="126"/>
      <c r="C32" s="159"/>
      <c r="D32" s="159"/>
      <c r="E32" s="152"/>
      <c r="F32" s="126"/>
      <c r="G32" s="152"/>
      <c r="H32" s="152"/>
      <c r="I32" s="152"/>
      <c r="J32" s="160"/>
      <c r="K32" s="126"/>
      <c r="L32" s="185"/>
      <c r="M32" s="186"/>
    </row>
    <row r="33" spans="1:13" ht="18" customHeight="1">
      <c r="A33" s="150"/>
      <c r="B33" s="154"/>
      <c r="C33" s="159"/>
      <c r="D33" s="159"/>
      <c r="E33" s="152"/>
      <c r="F33" s="126"/>
      <c r="G33" s="152"/>
      <c r="H33" s="152"/>
      <c r="I33" s="152"/>
      <c r="J33" s="160"/>
      <c r="K33" s="126"/>
      <c r="L33" s="185"/>
      <c r="M33" s="186"/>
    </row>
    <row r="34" spans="1:13" ht="18" customHeight="1">
      <c r="A34" s="150"/>
      <c r="B34" s="126"/>
      <c r="C34" s="159"/>
      <c r="D34" s="159"/>
      <c r="E34" s="152"/>
      <c r="F34" s="126"/>
      <c r="G34" s="169"/>
      <c r="H34" s="169"/>
      <c r="I34" s="169"/>
      <c r="J34" s="160"/>
      <c r="K34" s="126"/>
      <c r="L34" s="185"/>
      <c r="M34" s="186"/>
    </row>
    <row r="35" spans="1:13" ht="18" customHeight="1">
      <c r="A35" s="150"/>
      <c r="B35" s="126"/>
      <c r="C35" s="159"/>
      <c r="D35" s="159"/>
      <c r="E35" s="152"/>
      <c r="F35" s="126"/>
      <c r="G35" s="169"/>
      <c r="H35" s="169"/>
      <c r="I35" s="169"/>
      <c r="J35" s="160"/>
      <c r="K35" s="126"/>
      <c r="L35" s="185"/>
      <c r="M35" s="186"/>
    </row>
    <row r="36" spans="1:13" ht="18" customHeight="1">
      <c r="A36" s="150"/>
      <c r="B36" s="127"/>
      <c r="C36" s="180"/>
      <c r="D36" s="180"/>
      <c r="E36" s="181"/>
      <c r="F36" s="127"/>
      <c r="G36" s="169"/>
      <c r="H36" s="169"/>
      <c r="I36" s="169"/>
      <c r="J36" s="160"/>
      <c r="K36" s="127"/>
      <c r="L36" s="185"/>
      <c r="M36" s="186"/>
    </row>
    <row r="37" spans="1:13" ht="18" customHeight="1">
      <c r="A37" s="150"/>
      <c r="B37" s="126"/>
      <c r="C37" s="159"/>
      <c r="D37" s="159"/>
      <c r="E37" s="152"/>
      <c r="F37" s="126"/>
      <c r="G37" s="152"/>
      <c r="H37" s="152"/>
      <c r="I37" s="152"/>
      <c r="J37" s="160"/>
      <c r="K37" s="126"/>
      <c r="M37" s="186"/>
    </row>
    <row r="38" spans="1:13" ht="18" customHeight="1">
      <c r="A38" s="150"/>
      <c r="B38" s="126"/>
      <c r="C38" s="159"/>
      <c r="D38" s="159"/>
      <c r="E38" s="152"/>
      <c r="F38" s="126"/>
      <c r="G38" s="152"/>
      <c r="H38" s="152"/>
      <c r="I38" s="152"/>
      <c r="J38" s="160"/>
      <c r="K38" s="126"/>
      <c r="M38" s="186"/>
    </row>
    <row r="39" spans="1:13" ht="18" customHeight="1">
      <c r="A39" s="150"/>
      <c r="B39" s="126"/>
      <c r="C39" s="159"/>
      <c r="D39" s="159"/>
      <c r="E39" s="152"/>
      <c r="F39" s="126"/>
      <c r="G39" s="152"/>
      <c r="H39" s="152"/>
      <c r="I39" s="152"/>
      <c r="J39" s="160"/>
      <c r="K39" s="126"/>
      <c r="M39" s="186"/>
    </row>
    <row r="40" spans="1:13" ht="18" customHeight="1">
      <c r="A40" s="150"/>
      <c r="B40" s="126"/>
      <c r="C40" s="159"/>
      <c r="D40" s="159"/>
      <c r="E40" s="152"/>
      <c r="F40" s="126"/>
      <c r="G40" s="152"/>
      <c r="H40" s="152"/>
      <c r="I40" s="152"/>
      <c r="J40" s="160"/>
      <c r="K40" s="126"/>
      <c r="M40" s="186"/>
    </row>
    <row r="41" spans="1:13" ht="18" customHeight="1">
      <c r="A41" s="150"/>
      <c r="B41" s="126"/>
      <c r="C41" s="159"/>
      <c r="D41" s="159"/>
      <c r="E41" s="152"/>
      <c r="F41" s="126"/>
      <c r="G41" s="152"/>
      <c r="H41" s="152"/>
      <c r="I41" s="152"/>
      <c r="J41" s="160"/>
      <c r="K41" s="126"/>
      <c r="M41" s="186"/>
    </row>
    <row r="42" spans="1:13" ht="18" customHeight="1">
      <c r="A42" s="150"/>
      <c r="B42" s="126"/>
      <c r="C42" s="159"/>
      <c r="D42" s="159"/>
      <c r="E42" s="152"/>
      <c r="F42" s="126"/>
      <c r="G42" s="152"/>
      <c r="H42" s="152"/>
      <c r="I42" s="152"/>
      <c r="J42" s="160"/>
      <c r="K42" s="126"/>
      <c r="M42" s="186"/>
    </row>
    <row r="43" spans="1:13" ht="18" customHeight="1">
      <c r="A43" s="150"/>
      <c r="B43" s="126"/>
      <c r="C43" s="159"/>
      <c r="D43" s="159"/>
      <c r="E43" s="152"/>
      <c r="F43" s="126"/>
      <c r="G43" s="152"/>
      <c r="H43" s="152"/>
      <c r="I43" s="152"/>
      <c r="J43" s="160"/>
      <c r="K43" s="160"/>
      <c r="M43" s="186"/>
    </row>
    <row r="44" spans="1:13" ht="18" customHeight="1">
      <c r="A44" s="150"/>
      <c r="B44" s="126"/>
      <c r="C44" s="159"/>
      <c r="D44" s="159"/>
      <c r="E44" s="152"/>
      <c r="F44" s="126"/>
      <c r="G44" s="152"/>
      <c r="H44" s="152"/>
      <c r="I44" s="152"/>
      <c r="J44" s="160"/>
      <c r="K44" s="160"/>
      <c r="M44" s="186"/>
    </row>
    <row r="45" spans="1:13" ht="18" customHeight="1">
      <c r="A45" s="150"/>
      <c r="B45" s="126"/>
      <c r="C45" s="159"/>
      <c r="D45" s="159"/>
      <c r="E45" s="152"/>
      <c r="F45" s="126"/>
      <c r="G45" s="152"/>
      <c r="H45" s="152"/>
      <c r="I45" s="152"/>
      <c r="J45" s="160"/>
      <c r="K45" s="160"/>
      <c r="M45" s="186"/>
    </row>
    <row r="46" spans="1:13" ht="18" customHeight="1">
      <c r="A46" s="150"/>
      <c r="B46" s="126"/>
      <c r="C46" s="159"/>
      <c r="D46" s="159"/>
      <c r="E46" s="152"/>
      <c r="F46" s="126"/>
      <c r="G46" s="152"/>
      <c r="H46" s="152"/>
      <c r="I46" s="152"/>
      <c r="J46" s="160"/>
      <c r="K46" s="160"/>
      <c r="M46" s="186"/>
    </row>
    <row r="47" spans="1:13" ht="18" customHeight="1">
      <c r="A47" s="110"/>
      <c r="B47" s="126"/>
      <c r="C47" s="159"/>
      <c r="D47" s="159"/>
      <c r="E47" s="152"/>
      <c r="F47" s="126"/>
      <c r="G47" s="152"/>
      <c r="H47" s="152"/>
      <c r="I47" s="152"/>
      <c r="J47" s="160"/>
      <c r="K47" s="160"/>
      <c r="M47" s="186"/>
    </row>
    <row r="48" spans="1:13" ht="18" customHeight="1">
      <c r="A48" s="150"/>
      <c r="B48" s="154"/>
      <c r="C48" s="159"/>
      <c r="D48" s="159"/>
      <c r="E48" s="152"/>
      <c r="F48" s="154"/>
      <c r="G48" s="152"/>
      <c r="H48" s="152"/>
      <c r="I48" s="152"/>
      <c r="J48" s="160"/>
      <c r="K48" s="160"/>
      <c r="M48" s="186"/>
    </row>
    <row r="49" spans="1:13" ht="18" customHeight="1">
      <c r="A49" s="150"/>
      <c r="B49" s="154"/>
      <c r="C49" s="159"/>
      <c r="D49" s="159"/>
      <c r="E49" s="152"/>
      <c r="F49" s="126"/>
      <c r="G49" s="152"/>
      <c r="H49" s="152"/>
      <c r="I49" s="152"/>
      <c r="J49" s="160"/>
      <c r="K49" s="160"/>
      <c r="M49" s="186"/>
    </row>
    <row r="50" spans="1:13" ht="18" customHeight="1">
      <c r="A50" s="110"/>
      <c r="B50" s="154"/>
      <c r="C50" s="159"/>
      <c r="D50" s="159"/>
      <c r="E50" s="152"/>
      <c r="F50" s="154"/>
      <c r="G50" s="152"/>
      <c r="H50" s="152"/>
      <c r="I50" s="152"/>
      <c r="J50" s="160"/>
      <c r="K50" s="160"/>
      <c r="M50" s="186"/>
    </row>
    <row r="51" spans="1:13" ht="18" customHeight="1">
      <c r="A51" s="110"/>
      <c r="B51" s="126"/>
      <c r="C51" s="159"/>
      <c r="D51" s="159"/>
      <c r="E51" s="152"/>
      <c r="F51" s="126"/>
      <c r="G51" s="152"/>
      <c r="H51" s="152"/>
      <c r="I51" s="152"/>
      <c r="J51" s="160"/>
      <c r="K51" s="160"/>
      <c r="M51" s="186"/>
    </row>
    <row r="52" spans="1:13" ht="18" customHeight="1">
      <c r="A52" s="110"/>
      <c r="B52" s="154"/>
      <c r="C52" s="159"/>
      <c r="D52" s="159"/>
      <c r="E52" s="152"/>
      <c r="F52" s="154"/>
      <c r="G52" s="152"/>
      <c r="H52" s="152"/>
      <c r="I52" s="152"/>
      <c r="J52" s="160"/>
      <c r="K52" s="160"/>
      <c r="M52" s="186"/>
    </row>
    <row r="53" spans="1:13" ht="18" customHeight="1">
      <c r="A53" s="110"/>
      <c r="B53" s="154"/>
      <c r="C53" s="159"/>
      <c r="D53" s="159"/>
      <c r="E53" s="152"/>
      <c r="F53" s="154"/>
      <c r="G53" s="152"/>
      <c r="H53" s="152"/>
      <c r="I53" s="152"/>
      <c r="J53" s="160"/>
      <c r="K53" s="160"/>
      <c r="M53" s="186"/>
    </row>
    <row r="54" spans="1:13" ht="18" customHeight="1">
      <c r="A54" s="110"/>
      <c r="B54" s="154"/>
      <c r="C54" s="159"/>
      <c r="D54" s="159"/>
      <c r="E54" s="152"/>
      <c r="F54" s="154"/>
      <c r="G54" s="152"/>
      <c r="H54" s="152"/>
      <c r="I54" s="152"/>
      <c r="J54" s="160"/>
      <c r="K54" s="160"/>
      <c r="M54" s="186"/>
    </row>
    <row r="55" spans="1:13" ht="18" customHeight="1">
      <c r="A55" s="110"/>
      <c r="B55" s="154"/>
      <c r="C55" s="159"/>
      <c r="D55" s="159"/>
      <c r="E55" s="152"/>
      <c r="F55" s="154"/>
      <c r="G55" s="152"/>
      <c r="H55" s="152"/>
      <c r="I55" s="152"/>
      <c r="J55" s="160"/>
      <c r="K55" s="160"/>
      <c r="M55" s="186"/>
    </row>
    <row r="56" spans="1:13" ht="18" customHeight="1">
      <c r="A56" s="110"/>
      <c r="B56" s="126"/>
      <c r="C56" s="159"/>
      <c r="D56" s="159"/>
      <c r="E56" s="152"/>
      <c r="F56" s="126"/>
      <c r="G56" s="152"/>
      <c r="H56" s="152"/>
      <c r="I56" s="152"/>
      <c r="J56" s="160"/>
      <c r="K56" s="160"/>
      <c r="M56" s="186"/>
    </row>
    <row r="57" spans="1:13" ht="18" customHeight="1">
      <c r="A57" s="110"/>
      <c r="B57" s="154"/>
      <c r="C57" s="159"/>
      <c r="D57" s="159"/>
      <c r="E57" s="152"/>
      <c r="F57" s="154"/>
      <c r="G57" s="152"/>
      <c r="H57" s="152"/>
      <c r="I57" s="152"/>
      <c r="J57" s="160"/>
      <c r="K57" s="160"/>
      <c r="M57" s="186"/>
    </row>
    <row r="58" spans="1:13" ht="18" customHeight="1">
      <c r="A58" s="110"/>
      <c r="B58" s="126"/>
      <c r="C58" s="159"/>
      <c r="D58" s="159"/>
      <c r="E58" s="152"/>
      <c r="F58" s="126"/>
      <c r="G58" s="152"/>
      <c r="H58" s="152"/>
      <c r="I58" s="152"/>
      <c r="J58" s="160"/>
      <c r="K58" s="160"/>
      <c r="M58" s="186"/>
    </row>
    <row r="59" spans="1:13" ht="18" customHeight="1">
      <c r="A59" s="110"/>
      <c r="B59" s="154"/>
      <c r="C59" s="159"/>
      <c r="D59" s="159"/>
      <c r="E59" s="152"/>
      <c r="F59" s="154"/>
      <c r="G59" s="152"/>
      <c r="H59" s="152"/>
      <c r="I59" s="152"/>
      <c r="J59" s="160"/>
      <c r="K59" s="160"/>
      <c r="M59" s="186"/>
    </row>
    <row r="60" spans="1:13" ht="18" customHeight="1">
      <c r="A60" s="110"/>
      <c r="B60" s="126"/>
      <c r="C60" s="159"/>
      <c r="D60" s="159"/>
      <c r="E60" s="152"/>
      <c r="F60" s="126"/>
      <c r="G60" s="152"/>
      <c r="H60" s="152"/>
      <c r="I60" s="152"/>
      <c r="J60" s="160"/>
      <c r="K60" s="160"/>
      <c r="M60" s="186"/>
    </row>
    <row r="61" spans="1:13" ht="18" customHeight="1">
      <c r="A61" s="110"/>
      <c r="B61" s="126"/>
      <c r="C61" s="159"/>
      <c r="D61" s="159"/>
      <c r="E61" s="152"/>
      <c r="F61" s="126"/>
      <c r="G61" s="152"/>
      <c r="H61" s="152"/>
      <c r="I61" s="152"/>
      <c r="J61" s="160"/>
      <c r="K61" s="160"/>
      <c r="M61" s="186"/>
    </row>
    <row r="62" spans="1:13" ht="18" customHeight="1">
      <c r="A62" s="110"/>
      <c r="B62" s="126"/>
      <c r="C62" s="159"/>
      <c r="D62" s="159"/>
      <c r="E62" s="152"/>
      <c r="F62" s="126"/>
      <c r="G62" s="152"/>
      <c r="H62" s="152"/>
      <c r="I62" s="152"/>
      <c r="J62" s="160"/>
      <c r="K62" s="160"/>
      <c r="M62" s="186"/>
    </row>
    <row r="63" spans="1:13" ht="18" customHeight="1">
      <c r="A63" s="110"/>
      <c r="B63" s="126"/>
      <c r="C63" s="159"/>
      <c r="D63" s="159"/>
      <c r="E63" s="152"/>
      <c r="F63" s="126"/>
      <c r="G63" s="152"/>
      <c r="H63" s="152"/>
      <c r="I63" s="152"/>
      <c r="J63" s="160"/>
      <c r="K63" s="160"/>
      <c r="M63" s="186"/>
    </row>
    <row r="64" spans="1:13" ht="18" customHeight="1">
      <c r="A64" s="141"/>
      <c r="B64" s="167"/>
      <c r="C64" s="168"/>
      <c r="D64" s="168"/>
      <c r="E64" s="169"/>
      <c r="F64" s="167"/>
      <c r="G64" s="169"/>
      <c r="H64" s="169"/>
      <c r="I64" s="169"/>
      <c r="J64" s="167"/>
      <c r="K64" s="167"/>
    </row>
    <row r="65" spans="1:11" ht="18" customHeight="1">
      <c r="A65" s="141"/>
      <c r="B65" s="142"/>
      <c r="C65" s="143"/>
      <c r="D65" s="143"/>
      <c r="E65" s="142"/>
      <c r="F65" s="142"/>
      <c r="G65" s="142"/>
      <c r="H65" s="142"/>
      <c r="I65" s="142"/>
      <c r="J65" s="142"/>
      <c r="K65" s="142"/>
    </row>
    <row r="66" spans="1:11" ht="18" customHeight="1" thickBot="1">
      <c r="A66" s="138"/>
      <c r="B66" s="133">
        <f>SUM(B11:B63)</f>
        <v>173042.12</v>
      </c>
      <c r="C66" s="278">
        <v>5</v>
      </c>
      <c r="D66" s="278">
        <f t="shared" ref="D66:K66" si="0">SUM(D11:D63)</f>
        <v>60</v>
      </c>
      <c r="E66" s="133">
        <f t="shared" si="0"/>
        <v>2884.0353333333333</v>
      </c>
      <c r="F66" s="133">
        <f t="shared" si="0"/>
        <v>0</v>
      </c>
      <c r="G66" s="133">
        <f t="shared" si="0"/>
        <v>0</v>
      </c>
      <c r="H66" s="133">
        <f t="shared" si="0"/>
        <v>0</v>
      </c>
      <c r="I66" s="133">
        <f t="shared" si="0"/>
        <v>0</v>
      </c>
      <c r="J66" s="133">
        <f t="shared" si="0"/>
        <v>2884.0353333333333</v>
      </c>
      <c r="K66" s="133">
        <f t="shared" si="0"/>
        <v>-2884.0353333333333</v>
      </c>
    </row>
    <row r="67" spans="1:11" ht="13.5" thickTop="1"/>
    <row r="68" spans="1:11">
      <c r="A68" s="23"/>
    </row>
    <row r="73" spans="1:11">
      <c r="A73" s="104"/>
      <c r="B73" s="2"/>
      <c r="C73" s="106"/>
      <c r="D73" s="106"/>
      <c r="E73" s="2"/>
      <c r="F73" s="2"/>
      <c r="G73" s="2"/>
      <c r="H73" s="2"/>
      <c r="I73" s="2"/>
      <c r="J73" s="2"/>
      <c r="K73" s="105"/>
    </row>
    <row r="74" spans="1:11">
      <c r="A74" s="97">
        <v>21</v>
      </c>
      <c r="F74" s="97" t="s">
        <v>167</v>
      </c>
    </row>
  </sheetData>
  <mergeCells count="3">
    <mergeCell ref="A6:K6"/>
    <mergeCell ref="A8:K8"/>
    <mergeCell ref="A4:K4"/>
  </mergeCells>
  <phoneticPr fontId="23" type="noConversion"/>
  <printOptions horizontalCentered="1"/>
  <pageMargins left="0.75" right="0.25" top="0.75" bottom="0.5" header="0.5" footer="0.5"/>
  <pageSetup scale="56" orientation="portrait" horizontalDpi="4294967292" verticalDpi="4294967292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4"/>
  <dimension ref="A1:G31"/>
  <sheetViews>
    <sheetView showGridLines="0" zoomScaleNormal="100" workbookViewId="0">
      <selection activeCell="B19" sqref="B19"/>
    </sheetView>
  </sheetViews>
  <sheetFormatPr defaultRowHeight="12.75"/>
  <cols>
    <col min="1" max="1" width="31.5703125" customWidth="1"/>
    <col min="2" max="5" width="13.5703125" customWidth="1"/>
    <col min="6" max="6" width="22" customWidth="1"/>
    <col min="7" max="7" width="14.5703125" customWidth="1"/>
  </cols>
  <sheetData>
    <row r="1" spans="1:7" ht="19.5">
      <c r="A1" s="100" t="s">
        <v>0</v>
      </c>
      <c r="B1" s="100"/>
      <c r="C1" s="101"/>
      <c r="F1" s="100" t="s">
        <v>171</v>
      </c>
    </row>
    <row r="2" spans="1:7" ht="9" customHeight="1"/>
    <row r="3" spans="1:7" ht="18.75" customHeight="1"/>
    <row r="5" spans="1:7" ht="15.75">
      <c r="A5" s="1155" t="s">
        <v>2</v>
      </c>
      <c r="B5" s="1155"/>
      <c r="C5" s="1155"/>
      <c r="D5" s="1155"/>
      <c r="E5" s="1155"/>
      <c r="F5" s="1155"/>
      <c r="G5" s="1155"/>
    </row>
    <row r="6" spans="1:7">
      <c r="A6" s="681"/>
      <c r="B6" s="681"/>
      <c r="C6" s="681"/>
      <c r="D6" s="681"/>
      <c r="E6" s="681"/>
      <c r="F6" s="681"/>
      <c r="G6" s="681"/>
    </row>
    <row r="7" spans="1:7">
      <c r="A7" s="1156" t="s">
        <v>172</v>
      </c>
      <c r="B7" s="1156"/>
      <c r="C7" s="1156"/>
      <c r="D7" s="1156"/>
      <c r="E7" s="1156"/>
      <c r="F7" s="1156"/>
      <c r="G7" s="1156"/>
    </row>
    <row r="8" spans="1:7" ht="8.25" customHeight="1"/>
    <row r="9" spans="1:7">
      <c r="A9" s="1158" t="s">
        <v>143</v>
      </c>
      <c r="B9" s="1158"/>
      <c r="C9" s="1158"/>
      <c r="D9" s="1158"/>
      <c r="E9" s="1158"/>
      <c r="F9" s="1158"/>
      <c r="G9" s="1158"/>
    </row>
    <row r="10" spans="1:7">
      <c r="A10" s="680"/>
      <c r="B10" s="680"/>
      <c r="C10" s="680"/>
      <c r="D10" s="680"/>
      <c r="E10" s="680"/>
      <c r="F10" s="680"/>
      <c r="G10" s="680"/>
    </row>
    <row r="11" spans="1:7" ht="15.75" customHeight="1"/>
    <row r="14" spans="1:7" ht="26.25" thickBot="1">
      <c r="A14" s="14" t="s">
        <v>144</v>
      </c>
      <c r="B14" s="15" t="s">
        <v>173</v>
      </c>
      <c r="C14" s="15" t="s">
        <v>174</v>
      </c>
      <c r="D14" s="15" t="s">
        <v>173</v>
      </c>
      <c r="E14" s="15" t="s">
        <v>174</v>
      </c>
      <c r="F14" s="15" t="s">
        <v>175</v>
      </c>
      <c r="G14" s="15" t="s">
        <v>176</v>
      </c>
    </row>
    <row r="15" spans="1:7" ht="19.5" customHeight="1">
      <c r="A15" s="111" t="s">
        <v>177</v>
      </c>
      <c r="B15" s="45"/>
      <c r="C15" s="45"/>
      <c r="D15" s="45"/>
      <c r="E15" s="46"/>
      <c r="F15" s="40" t="s">
        <v>178</v>
      </c>
      <c r="G15" s="40"/>
    </row>
    <row r="16" spans="1:7" ht="19.5" customHeight="1">
      <c r="A16" s="110"/>
      <c r="B16" s="31"/>
      <c r="C16" s="31"/>
      <c r="D16" s="31"/>
      <c r="E16" s="31"/>
      <c r="F16" s="30" t="s">
        <v>179</v>
      </c>
      <c r="G16" s="30"/>
    </row>
    <row r="17" spans="1:7" ht="19.5" customHeight="1">
      <c r="A17" s="110"/>
      <c r="B17" s="31"/>
      <c r="C17" s="31"/>
      <c r="D17" s="31"/>
      <c r="E17" s="31"/>
      <c r="F17" s="30" t="s">
        <v>180</v>
      </c>
      <c r="G17" s="30"/>
    </row>
    <row r="18" spans="1:7" ht="19.5" customHeight="1">
      <c r="A18" s="110"/>
      <c r="B18" s="31"/>
      <c r="C18" s="31"/>
      <c r="D18" s="31"/>
      <c r="E18" s="31"/>
      <c r="F18" s="30"/>
      <c r="G18" s="30"/>
    </row>
    <row r="19" spans="1:7" ht="19.5" customHeight="1">
      <c r="A19" s="110"/>
      <c r="B19" s="31"/>
      <c r="C19" s="31"/>
      <c r="D19" s="31"/>
      <c r="E19" s="31"/>
      <c r="F19" s="30"/>
      <c r="G19" s="30"/>
    </row>
    <row r="20" spans="1:7" ht="19.5" customHeight="1">
      <c r="A20" s="110"/>
      <c r="B20" s="31"/>
      <c r="C20" s="31"/>
      <c r="D20" s="31"/>
      <c r="E20" s="31"/>
      <c r="F20" s="30"/>
      <c r="G20" s="30"/>
    </row>
    <row r="21" spans="1:7" ht="19.5" customHeight="1">
      <c r="A21" s="110"/>
      <c r="B21" s="31"/>
      <c r="C21" s="31"/>
      <c r="D21" s="31"/>
      <c r="E21" s="31"/>
      <c r="F21" s="30"/>
      <c r="G21" s="30"/>
    </row>
    <row r="22" spans="1:7" ht="19.5" customHeight="1">
      <c r="A22" s="110"/>
      <c r="B22" s="31"/>
      <c r="C22" s="31"/>
      <c r="D22" s="31"/>
      <c r="E22" s="31"/>
      <c r="F22" s="30"/>
      <c r="G22" s="30"/>
    </row>
    <row r="23" spans="1:7" ht="19.5" customHeight="1">
      <c r="A23" s="110"/>
      <c r="B23" s="31"/>
      <c r="C23" s="31"/>
      <c r="D23" s="31"/>
      <c r="E23" s="31"/>
      <c r="F23" s="30"/>
      <c r="G23" s="30"/>
    </row>
    <row r="24" spans="1:7" ht="19.5" customHeight="1">
      <c r="A24" s="110"/>
      <c r="B24" s="31"/>
      <c r="C24" s="31"/>
      <c r="D24" s="31"/>
      <c r="E24" s="31"/>
      <c r="F24" s="30"/>
      <c r="G24" s="30"/>
    </row>
    <row r="25" spans="1:7" ht="19.5" customHeight="1">
      <c r="A25" s="110"/>
      <c r="B25" s="31"/>
      <c r="C25" s="31"/>
      <c r="D25" s="31"/>
      <c r="E25" s="31"/>
      <c r="F25" s="30"/>
      <c r="G25" s="30"/>
    </row>
    <row r="26" spans="1:7" ht="19.5" customHeight="1" thickBot="1">
      <c r="A26" s="110"/>
      <c r="B26" s="47"/>
      <c r="C26" s="47"/>
      <c r="D26" s="47"/>
      <c r="E26" s="47"/>
      <c r="F26" s="41"/>
      <c r="G26" s="41"/>
    </row>
    <row r="27" spans="1:7" ht="19.5" customHeight="1" thickBot="1">
      <c r="A27" s="112" t="s">
        <v>62</v>
      </c>
      <c r="B27" s="57"/>
      <c r="C27" s="57"/>
      <c r="D27" s="57"/>
      <c r="E27" s="57"/>
      <c r="F27" s="28">
        <f>SUM(F15:F26)</f>
        <v>0</v>
      </c>
      <c r="G27" s="28">
        <f>SUM(G15:G26)</f>
        <v>0</v>
      </c>
    </row>
    <row r="28" spans="1:7" ht="14.25" customHeight="1" thickTop="1"/>
    <row r="29" spans="1:7">
      <c r="A29" s="17" t="s">
        <v>181</v>
      </c>
      <c r="B29" s="17"/>
      <c r="C29" s="17"/>
      <c r="D29" s="17"/>
    </row>
    <row r="30" spans="1:7">
      <c r="A30" s="2"/>
      <c r="B30" s="2"/>
      <c r="C30" s="2"/>
      <c r="D30" s="2"/>
      <c r="E30" s="2"/>
      <c r="F30" s="2"/>
      <c r="G30" s="2"/>
    </row>
    <row r="31" spans="1:7">
      <c r="A31" s="97">
        <v>22</v>
      </c>
      <c r="F31" s="97" t="s">
        <v>182</v>
      </c>
    </row>
  </sheetData>
  <mergeCells count="3">
    <mergeCell ref="A7:G7"/>
    <mergeCell ref="A9:G9"/>
    <mergeCell ref="A5:G5"/>
  </mergeCells>
  <phoneticPr fontId="23" type="noConversion"/>
  <printOptions horizontalCentered="1"/>
  <pageMargins left="0.75" right="0.35" top="0.75" bottom="0.5" header="0.5" footer="0.5"/>
  <pageSetup orientation="landscape" horizontalDpi="4294967292" verticalDpi="4294967292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5"/>
  <dimension ref="A1:C33"/>
  <sheetViews>
    <sheetView showGridLines="0" zoomScaleNormal="100" workbookViewId="0">
      <selection activeCell="A5" sqref="A5:C5"/>
    </sheetView>
  </sheetViews>
  <sheetFormatPr defaultRowHeight="12.75"/>
  <cols>
    <col min="1" max="3" width="40.5703125" customWidth="1"/>
  </cols>
  <sheetData>
    <row r="1" spans="1:3" ht="19.5">
      <c r="A1" s="100" t="s">
        <v>0</v>
      </c>
      <c r="B1" s="100"/>
      <c r="C1" s="100" t="s">
        <v>183</v>
      </c>
    </row>
    <row r="2" spans="1:3" ht="9" customHeight="1"/>
    <row r="3" spans="1:3" ht="18.75" customHeight="1"/>
    <row r="5" spans="1:3" ht="15.75">
      <c r="A5" s="1155" t="s">
        <v>184</v>
      </c>
      <c r="B5" s="1155"/>
      <c r="C5" s="1155"/>
    </row>
    <row r="6" spans="1:3">
      <c r="A6" s="681"/>
      <c r="B6" s="681"/>
      <c r="C6" s="681"/>
    </row>
    <row r="7" spans="1:3">
      <c r="A7" s="1156" t="s">
        <v>185</v>
      </c>
      <c r="B7" s="1156"/>
      <c r="C7" s="1156"/>
    </row>
    <row r="8" spans="1:3" ht="8.25" customHeight="1">
      <c r="A8" s="680"/>
      <c r="B8" s="680"/>
      <c r="C8" s="680"/>
    </row>
    <row r="9" spans="1:3" ht="15.75" customHeight="1">
      <c r="A9" s="1158" t="s">
        <v>66</v>
      </c>
      <c r="B9" s="1158"/>
      <c r="C9" s="1158"/>
    </row>
    <row r="13" spans="1:3" ht="26.25" thickBot="1">
      <c r="A13" s="15" t="s">
        <v>186</v>
      </c>
      <c r="B13" s="15" t="s">
        <v>187</v>
      </c>
      <c r="C13" s="44" t="s">
        <v>188</v>
      </c>
    </row>
    <row r="14" spans="1:3" ht="18" customHeight="1">
      <c r="A14" s="114"/>
      <c r="B14" s="32"/>
      <c r="C14" s="32"/>
    </row>
    <row r="15" spans="1:3" ht="18" customHeight="1">
      <c r="A15" s="114"/>
      <c r="B15" s="42"/>
      <c r="C15" s="42"/>
    </row>
    <row r="16" spans="1:3" ht="18" customHeight="1">
      <c r="A16" s="114"/>
      <c r="B16" s="42"/>
      <c r="C16" s="42"/>
    </row>
    <row r="17" spans="1:3" ht="18" customHeight="1">
      <c r="A17" s="114"/>
      <c r="B17" s="42"/>
      <c r="C17" s="42"/>
    </row>
    <row r="18" spans="1:3" ht="18" customHeight="1">
      <c r="A18" s="114"/>
      <c r="B18" s="33"/>
      <c r="C18" s="33"/>
    </row>
    <row r="19" spans="1:3" ht="18" customHeight="1">
      <c r="A19" s="114"/>
      <c r="B19" s="33"/>
      <c r="C19" s="33"/>
    </row>
    <row r="20" spans="1:3" ht="18" customHeight="1">
      <c r="A20" s="114"/>
      <c r="B20" s="33"/>
      <c r="C20" s="33"/>
    </row>
    <row r="21" spans="1:3" ht="18" customHeight="1">
      <c r="A21" s="114"/>
      <c r="B21" s="33"/>
      <c r="C21" s="33"/>
    </row>
    <row r="22" spans="1:3" ht="18" customHeight="1">
      <c r="A22" s="114"/>
      <c r="B22" s="33"/>
      <c r="C22" s="33"/>
    </row>
    <row r="23" spans="1:3" ht="18" customHeight="1" thickBot="1">
      <c r="A23" s="114"/>
      <c r="B23" s="35"/>
      <c r="C23" s="35"/>
    </row>
    <row r="24" spans="1:3" ht="20.25" customHeight="1" thickBot="1">
      <c r="A24" s="39" t="s">
        <v>62</v>
      </c>
      <c r="B24" s="28">
        <f>SUM(B14:B23)</f>
        <v>0</v>
      </c>
      <c r="C24" s="28">
        <f>SUM(C14:C23)</f>
        <v>0</v>
      </c>
    </row>
    <row r="25" spans="1:3" ht="14.25" customHeight="1" thickTop="1"/>
    <row r="26" spans="1:3">
      <c r="A26" s="17"/>
    </row>
    <row r="32" spans="1:3">
      <c r="A32" s="104"/>
      <c r="B32" s="105"/>
      <c r="C32" s="105"/>
    </row>
    <row r="33" spans="1:3">
      <c r="A33" s="97">
        <v>23</v>
      </c>
      <c r="C33" s="97" t="s">
        <v>70</v>
      </c>
    </row>
  </sheetData>
  <mergeCells count="3">
    <mergeCell ref="A7:C7"/>
    <mergeCell ref="A9:C9"/>
    <mergeCell ref="A5:C5"/>
  </mergeCells>
  <phoneticPr fontId="23" type="noConversion"/>
  <printOptions horizontalCentered="1"/>
  <pageMargins left="0.75" right="0.75" top="0.75" bottom="0.5" header="0.5" footer="0.5"/>
  <pageSetup orientation="landscape" horizontalDpi="4294967292" verticalDpi="4294967292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6"/>
  <dimension ref="A1:I34"/>
  <sheetViews>
    <sheetView showGridLines="0" zoomScaleNormal="100" workbookViewId="0">
      <selection activeCell="A5" sqref="A5:C5"/>
    </sheetView>
  </sheetViews>
  <sheetFormatPr defaultRowHeight="12.75"/>
  <cols>
    <col min="1" max="1" width="33.42578125" customWidth="1"/>
    <col min="2" max="2" width="13.42578125" customWidth="1"/>
    <col min="3" max="3" width="12.42578125" customWidth="1"/>
    <col min="4" max="4" width="28.42578125" customWidth="1"/>
    <col min="5" max="5" width="17.5703125" customWidth="1"/>
    <col min="6" max="6" width="18.5703125" customWidth="1"/>
    <col min="7" max="7" width="7.5703125" hidden="1" customWidth="1"/>
    <col min="8" max="9" width="9.42578125" hidden="1" customWidth="1"/>
    <col min="10" max="10" width="17" customWidth="1"/>
  </cols>
  <sheetData>
    <row r="1" spans="1:9" ht="19.5">
      <c r="A1" s="100" t="s">
        <v>0</v>
      </c>
      <c r="B1" s="100"/>
      <c r="C1" s="101"/>
      <c r="E1" s="100" t="s">
        <v>171</v>
      </c>
    </row>
    <row r="2" spans="1:9" ht="9" customHeight="1"/>
    <row r="3" spans="1:9" ht="18.75" customHeight="1"/>
    <row r="5" spans="1:9" ht="15.75">
      <c r="A5" s="1155" t="s">
        <v>2</v>
      </c>
      <c r="B5" s="1155"/>
      <c r="C5" s="1155"/>
      <c r="D5" s="1155"/>
      <c r="E5" s="1155"/>
      <c r="F5" s="1155"/>
    </row>
    <row r="6" spans="1:9" ht="15.75">
      <c r="A6" s="679"/>
      <c r="B6" s="679"/>
      <c r="C6" s="679"/>
      <c r="D6" s="679"/>
      <c r="E6" s="679"/>
      <c r="F6" s="679"/>
    </row>
    <row r="7" spans="1:9">
      <c r="A7" s="1156" t="s">
        <v>189</v>
      </c>
      <c r="B7" s="1156"/>
      <c r="C7" s="1156"/>
      <c r="D7" s="1156"/>
      <c r="E7" s="1156"/>
      <c r="F7" s="1156"/>
    </row>
    <row r="8" spans="1:9" ht="6.75" customHeight="1">
      <c r="A8" s="680"/>
      <c r="B8" s="680"/>
      <c r="C8" s="680"/>
      <c r="D8" s="680"/>
      <c r="E8" s="680"/>
      <c r="F8" s="680"/>
    </row>
    <row r="9" spans="1:9" ht="15.75" customHeight="1">
      <c r="A9" s="1172" t="s">
        <v>103</v>
      </c>
      <c r="B9" s="1158"/>
      <c r="C9" s="1158"/>
      <c r="D9" s="1158"/>
      <c r="E9" s="1158"/>
      <c r="F9" s="1158"/>
    </row>
    <row r="10" spans="1:9">
      <c r="A10" s="1170">
        <f>'Pet-cash'!$A$11</f>
        <v>40816</v>
      </c>
      <c r="B10" s="1170"/>
      <c r="C10" s="1170"/>
      <c r="D10" s="1170"/>
      <c r="E10" s="1170"/>
      <c r="F10" s="1170"/>
    </row>
    <row r="12" spans="1:9" ht="26.25" thickBot="1">
      <c r="A12" s="14" t="s">
        <v>190</v>
      </c>
      <c r="B12" s="14" t="s">
        <v>191</v>
      </c>
      <c r="C12" s="15" t="s">
        <v>192</v>
      </c>
      <c r="D12" s="15" t="s">
        <v>77</v>
      </c>
      <c r="E12" s="15" t="s">
        <v>193</v>
      </c>
      <c r="F12" s="15" t="s">
        <v>194</v>
      </c>
      <c r="G12" s="14"/>
      <c r="H12" s="14"/>
      <c r="I12" s="14"/>
    </row>
    <row r="13" spans="1:9" ht="16.5" customHeight="1">
      <c r="A13" s="113"/>
      <c r="B13" s="40"/>
      <c r="C13" s="46"/>
      <c r="D13" s="24"/>
      <c r="E13" s="46"/>
      <c r="F13" s="46"/>
      <c r="G13" s="16"/>
      <c r="H13" s="16"/>
      <c r="I13" s="16"/>
    </row>
    <row r="14" spans="1:9" ht="16.5" customHeight="1">
      <c r="A14" s="114"/>
      <c r="B14" s="30"/>
      <c r="C14" s="31"/>
      <c r="D14" s="49"/>
      <c r="E14" s="31"/>
      <c r="F14" s="31"/>
      <c r="G14" s="10"/>
      <c r="H14" s="10"/>
      <c r="I14" s="10"/>
    </row>
    <row r="15" spans="1:9" ht="16.5" customHeight="1">
      <c r="A15" s="114"/>
      <c r="B15" s="30"/>
      <c r="C15" s="31"/>
      <c r="D15" s="49"/>
      <c r="E15" s="31"/>
      <c r="F15" s="31"/>
      <c r="G15" s="10"/>
      <c r="H15" s="10"/>
      <c r="I15" s="10"/>
    </row>
    <row r="16" spans="1:9" ht="16.5" customHeight="1">
      <c r="A16" s="114"/>
      <c r="B16" s="30"/>
      <c r="C16" s="31"/>
      <c r="D16" s="49"/>
      <c r="E16" s="31"/>
      <c r="F16" s="31"/>
      <c r="G16" s="10"/>
      <c r="H16" s="10"/>
      <c r="I16" s="10"/>
    </row>
    <row r="17" spans="1:9" ht="16.5" customHeight="1">
      <c r="A17" s="114"/>
      <c r="B17" s="30"/>
      <c r="C17" s="31"/>
      <c r="D17" s="49"/>
      <c r="E17" s="31"/>
      <c r="F17" s="31"/>
      <c r="G17" s="10"/>
      <c r="H17" s="10"/>
      <c r="I17" s="10"/>
    </row>
    <row r="18" spans="1:9" ht="16.5" customHeight="1">
      <c r="A18" s="114"/>
      <c r="B18" s="30"/>
      <c r="C18" s="31"/>
      <c r="D18" s="49"/>
      <c r="E18" s="31"/>
      <c r="F18" s="31"/>
      <c r="G18" s="10"/>
      <c r="H18" s="10"/>
      <c r="I18" s="10"/>
    </row>
    <row r="19" spans="1:9" ht="16.5" customHeight="1">
      <c r="A19" s="114"/>
      <c r="B19" s="30"/>
      <c r="C19" s="31"/>
      <c r="D19" s="50"/>
      <c r="E19" s="31"/>
      <c r="F19" s="31"/>
      <c r="G19" s="10"/>
      <c r="H19" s="10"/>
      <c r="I19" s="10"/>
    </row>
    <row r="20" spans="1:9" ht="16.5" customHeight="1">
      <c r="A20" s="114"/>
      <c r="B20" s="30"/>
      <c r="C20" s="31"/>
      <c r="D20" s="50"/>
      <c r="E20" s="31"/>
      <c r="F20" s="31"/>
      <c r="G20" s="10"/>
      <c r="H20" s="10"/>
      <c r="I20" s="10"/>
    </row>
    <row r="21" spans="1:9" ht="16.5" customHeight="1">
      <c r="A21" s="114"/>
      <c r="B21" s="30"/>
      <c r="C21" s="31"/>
      <c r="D21" s="50"/>
      <c r="E21" s="31"/>
      <c r="F21" s="31"/>
      <c r="G21" s="10"/>
      <c r="H21" s="10"/>
      <c r="I21" s="10"/>
    </row>
    <row r="22" spans="1:9" ht="16.5" customHeight="1">
      <c r="A22" s="114"/>
      <c r="B22" s="30"/>
      <c r="C22" s="31"/>
      <c r="D22" s="50"/>
      <c r="E22" s="31"/>
      <c r="F22" s="31"/>
      <c r="G22" s="10"/>
      <c r="H22" s="10"/>
      <c r="I22" s="10"/>
    </row>
    <row r="23" spans="1:9" ht="16.5" customHeight="1">
      <c r="A23" s="114"/>
      <c r="B23" s="30"/>
      <c r="C23" s="31"/>
      <c r="D23" s="50"/>
      <c r="E23" s="31"/>
      <c r="F23" s="31"/>
      <c r="G23" s="10"/>
      <c r="H23" s="10"/>
      <c r="I23" s="10"/>
    </row>
    <row r="24" spans="1:9" ht="16.5" customHeight="1" thickBot="1">
      <c r="A24" s="114"/>
      <c r="B24" s="41"/>
      <c r="C24" s="47"/>
      <c r="D24" s="51"/>
      <c r="E24" s="47"/>
      <c r="F24" s="47"/>
      <c r="G24" s="10"/>
      <c r="H24" s="10"/>
      <c r="I24" s="10"/>
    </row>
    <row r="25" spans="1:9" ht="16.5" customHeight="1" thickBot="1">
      <c r="A25" s="112" t="s">
        <v>62</v>
      </c>
      <c r="B25" s="28">
        <f>SUM(B13:B24)</f>
        <v>0</v>
      </c>
      <c r="C25" s="39"/>
      <c r="D25" s="39"/>
      <c r="E25" s="39"/>
      <c r="F25" s="39"/>
      <c r="G25" s="48"/>
      <c r="H25" s="13"/>
      <c r="I25" s="13"/>
    </row>
    <row r="26" spans="1:9" ht="13.5" thickTop="1"/>
    <row r="27" spans="1:9">
      <c r="A27" s="1174" t="s">
        <v>195</v>
      </c>
      <c r="B27" s="1174"/>
      <c r="C27" s="1174"/>
      <c r="D27" s="1174"/>
      <c r="E27" s="1174"/>
      <c r="F27" s="1174"/>
    </row>
    <row r="33" spans="1:6">
      <c r="A33" s="104"/>
      <c r="B33" s="105"/>
      <c r="C33" s="105"/>
      <c r="D33" s="105"/>
      <c r="E33" s="105"/>
      <c r="F33" s="105"/>
    </row>
    <row r="34" spans="1:6">
      <c r="A34" s="97">
        <v>24</v>
      </c>
      <c r="E34" s="97" t="s">
        <v>196</v>
      </c>
    </row>
  </sheetData>
  <mergeCells count="5">
    <mergeCell ref="A7:F7"/>
    <mergeCell ref="A9:F9"/>
    <mergeCell ref="A27:F27"/>
    <mergeCell ref="A5:F5"/>
    <mergeCell ref="A10:F10"/>
  </mergeCells>
  <phoneticPr fontId="23" type="noConversion"/>
  <printOptions horizontalCentered="1"/>
  <pageMargins left="0.75" right="0.27" top="0.75" bottom="0.5" header="0.5" footer="0.5"/>
  <pageSetup orientation="landscape" horizontalDpi="4294967292" verticalDpi="4294967292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20"/>
  <dimension ref="A1:F34"/>
  <sheetViews>
    <sheetView showGridLines="0" zoomScaleNormal="100" workbookViewId="0">
      <selection activeCell="A5" sqref="A5:C5"/>
    </sheetView>
  </sheetViews>
  <sheetFormatPr defaultRowHeight="12.75"/>
  <cols>
    <col min="1" max="1" width="12.5703125" customWidth="1"/>
    <col min="2" max="2" width="22.5703125" customWidth="1"/>
    <col min="3" max="3" width="23.5703125" customWidth="1"/>
    <col min="4" max="5" width="21.5703125" style="5" customWidth="1"/>
    <col min="6" max="6" width="16.5703125" style="5" customWidth="1"/>
  </cols>
  <sheetData>
    <row r="1" spans="1:6" ht="19.5">
      <c r="A1" s="100" t="s">
        <v>0</v>
      </c>
      <c r="B1" s="100"/>
      <c r="C1" s="101"/>
      <c r="E1" s="100" t="s">
        <v>197</v>
      </c>
    </row>
    <row r="2" spans="1:6" ht="9" customHeight="1">
      <c r="D2"/>
      <c r="E2"/>
      <c r="F2"/>
    </row>
    <row r="3" spans="1:6" ht="18.75" customHeight="1">
      <c r="D3"/>
      <c r="E3"/>
      <c r="F3"/>
    </row>
    <row r="4" spans="1:6" ht="15.75">
      <c r="A4" s="1155" t="s">
        <v>2</v>
      </c>
      <c r="B4" s="1155"/>
      <c r="C4" s="1155"/>
      <c r="D4" s="1155"/>
      <c r="E4" s="1155"/>
      <c r="F4" s="1155"/>
    </row>
    <row r="5" spans="1:6" ht="9.75" customHeight="1">
      <c r="D5"/>
      <c r="E5"/>
      <c r="F5"/>
    </row>
    <row r="6" spans="1:6">
      <c r="A6" s="1156" t="s">
        <v>198</v>
      </c>
      <c r="B6" s="1156"/>
      <c r="C6" s="1156"/>
      <c r="D6" s="1156"/>
      <c r="E6" s="1156"/>
      <c r="F6" s="1156"/>
    </row>
    <row r="7" spans="1:6" ht="6.75" customHeight="1">
      <c r="D7"/>
      <c r="E7"/>
      <c r="F7"/>
    </row>
    <row r="8" spans="1:6" ht="12.75" customHeight="1">
      <c r="A8" s="1169" t="s">
        <v>199</v>
      </c>
      <c r="B8" s="1158"/>
      <c r="C8" s="1158"/>
      <c r="D8" s="1158"/>
      <c r="E8" s="1158"/>
      <c r="F8" s="1158"/>
    </row>
    <row r="9" spans="1:6">
      <c r="A9" s="1175">
        <f>'Pet-cash'!$A$11</f>
        <v>40816</v>
      </c>
      <c r="B9" s="1157"/>
      <c r="C9" s="1157"/>
      <c r="D9" s="1157"/>
      <c r="E9" s="1157"/>
      <c r="F9" s="1157"/>
    </row>
    <row r="10" spans="1:6">
      <c r="B10" s="18"/>
      <c r="D10"/>
    </row>
    <row r="11" spans="1:6" ht="9.75" customHeight="1">
      <c r="C11" s="9"/>
    </row>
    <row r="12" spans="1:6" ht="4.5" customHeight="1">
      <c r="C12" s="9"/>
    </row>
    <row r="14" spans="1:6" ht="13.5" thickBot="1">
      <c r="B14" s="14"/>
      <c r="C14" s="14" t="s">
        <v>200</v>
      </c>
      <c r="D14" s="14" t="s">
        <v>201</v>
      </c>
      <c r="E14" s="14" t="s">
        <v>202</v>
      </c>
      <c r="F14"/>
    </row>
    <row r="15" spans="1:6" ht="18.75" customHeight="1">
      <c r="B15" s="117" t="s">
        <v>203</v>
      </c>
      <c r="C15" s="145"/>
      <c r="D15" s="144"/>
      <c r="E15" s="52"/>
      <c r="F15"/>
    </row>
    <row r="16" spans="1:6" ht="18.75" customHeight="1">
      <c r="B16" s="118" t="s">
        <v>204</v>
      </c>
      <c r="C16" s="126"/>
      <c r="D16" s="188"/>
      <c r="E16" s="53"/>
      <c r="F16"/>
    </row>
    <row r="17" spans="1:6" ht="18.75" customHeight="1">
      <c r="B17" s="118" t="s">
        <v>205</v>
      </c>
      <c r="C17" s="126"/>
      <c r="D17" s="125"/>
      <c r="E17" s="53"/>
      <c r="F17"/>
    </row>
    <row r="18" spans="1:6" ht="18.75" customHeight="1">
      <c r="B18" s="118" t="s">
        <v>206</v>
      </c>
      <c r="C18" s="126"/>
      <c r="D18" s="125"/>
      <c r="E18" s="53"/>
      <c r="F18"/>
    </row>
    <row r="19" spans="1:6" ht="18.75" customHeight="1">
      <c r="B19" s="118" t="s">
        <v>207</v>
      </c>
      <c r="C19" s="126"/>
      <c r="D19" s="125"/>
      <c r="E19" s="53"/>
      <c r="F19"/>
    </row>
    <row r="20" spans="1:6" ht="18.75" customHeight="1">
      <c r="B20" s="118" t="s">
        <v>208</v>
      </c>
      <c r="C20" s="152"/>
      <c r="D20" s="272"/>
      <c r="E20" s="273"/>
      <c r="F20"/>
    </row>
    <row r="21" spans="1:6" ht="18.75" customHeight="1">
      <c r="B21" s="118" t="s">
        <v>209</v>
      </c>
      <c r="C21" s="152">
        <v>390331.42</v>
      </c>
      <c r="D21" s="272">
        <v>2.5000000000000001E-2</v>
      </c>
      <c r="E21" s="273">
        <f>C21*D21</f>
        <v>9758.2855</v>
      </c>
      <c r="F21"/>
    </row>
    <row r="22" spans="1:6" ht="18.75" customHeight="1">
      <c r="B22" s="118" t="s">
        <v>210</v>
      </c>
      <c r="C22" s="152">
        <v>296986.19</v>
      </c>
      <c r="D22" s="272">
        <v>2.5000000000000001E-2</v>
      </c>
      <c r="E22" s="273">
        <f>C22*D22</f>
        <v>7424.6547500000006</v>
      </c>
      <c r="F22"/>
    </row>
    <row r="23" spans="1:6" ht="18.75" customHeight="1">
      <c r="B23" s="118" t="s">
        <v>211</v>
      </c>
      <c r="C23" s="152">
        <v>299807.31</v>
      </c>
      <c r="D23" s="272">
        <v>2.5000000000000001E-2</v>
      </c>
      <c r="E23" s="273">
        <f>C23*D23</f>
        <v>7495.1827499999999</v>
      </c>
      <c r="F23"/>
    </row>
    <row r="24" spans="1:6" ht="18.75" customHeight="1">
      <c r="B24" s="118" t="s">
        <v>212</v>
      </c>
      <c r="C24" s="126"/>
      <c r="D24" s="125"/>
      <c r="E24" s="53"/>
      <c r="F24"/>
    </row>
    <row r="25" spans="1:6" ht="18.75" customHeight="1">
      <c r="B25" s="118" t="s">
        <v>213</v>
      </c>
      <c r="C25" s="126"/>
      <c r="D25" s="125"/>
      <c r="E25" s="53"/>
      <c r="F25"/>
    </row>
    <row r="26" spans="1:6" ht="18.75" customHeight="1" thickBot="1">
      <c r="B26" s="118" t="s">
        <v>214</v>
      </c>
      <c r="C26" s="127"/>
      <c r="D26" s="125"/>
      <c r="E26" s="54"/>
      <c r="F26"/>
    </row>
    <row r="27" spans="1:6" ht="21.75" customHeight="1" thickBot="1">
      <c r="B27" s="112" t="s">
        <v>62</v>
      </c>
      <c r="C27" s="128"/>
      <c r="D27" s="58"/>
      <c r="E27" s="274">
        <f>SUM(E15:E26)</f>
        <v>24678.123</v>
      </c>
      <c r="F27"/>
    </row>
    <row r="28" spans="1:6" ht="13.5" thickTop="1"/>
    <row r="29" spans="1:6" ht="9" customHeight="1"/>
    <row r="30" spans="1:6" ht="9.75" customHeight="1"/>
    <row r="32" spans="1:6" ht="12.6" customHeight="1">
      <c r="A32" s="95"/>
      <c r="B32" s="96"/>
      <c r="C32" s="96"/>
      <c r="D32" s="96"/>
      <c r="E32" s="96"/>
      <c r="F32" s="96"/>
    </row>
    <row r="33" spans="1:6">
      <c r="A33" s="2"/>
      <c r="B33" s="2"/>
      <c r="C33" s="2"/>
      <c r="D33" s="106"/>
      <c r="E33" s="106"/>
      <c r="F33" s="106"/>
    </row>
    <row r="34" spans="1:6">
      <c r="A34" s="97">
        <v>27</v>
      </c>
      <c r="E34" s="97" t="s">
        <v>215</v>
      </c>
    </row>
  </sheetData>
  <mergeCells count="4">
    <mergeCell ref="A9:F9"/>
    <mergeCell ref="A4:F4"/>
    <mergeCell ref="A6:F6"/>
    <mergeCell ref="A8:F8"/>
  </mergeCells>
  <phoneticPr fontId="23" type="noConversion"/>
  <printOptions horizontalCentered="1"/>
  <pageMargins left="0.75" right="0.3" top="0.75" bottom="0.5" header="0.75" footer="0.6"/>
  <pageSetup orientation="landscape" horizontalDpi="4294967292" verticalDpi="4294967292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9"/>
  <dimension ref="A1:K26"/>
  <sheetViews>
    <sheetView showGridLines="0" zoomScaleNormal="100" workbookViewId="0">
      <selection activeCell="C16" sqref="C16"/>
    </sheetView>
  </sheetViews>
  <sheetFormatPr defaultRowHeight="12.75"/>
  <cols>
    <col min="1" max="1" width="21.42578125" customWidth="1"/>
    <col min="2" max="2" width="13.42578125" customWidth="1"/>
    <col min="3" max="3" width="12.42578125" customWidth="1"/>
    <col min="4" max="4" width="10.42578125" customWidth="1"/>
    <col min="5" max="5" width="13.5703125" customWidth="1"/>
    <col min="6" max="6" width="15.42578125" customWidth="1"/>
    <col min="7" max="7" width="15" customWidth="1"/>
    <col min="8" max="9" width="12.5703125" customWidth="1"/>
    <col min="10" max="10" width="0.5703125" customWidth="1"/>
    <col min="11" max="11" width="9.42578125" hidden="1" customWidth="1"/>
  </cols>
  <sheetData>
    <row r="1" spans="1:11" ht="19.5">
      <c r="A1" s="100" t="s">
        <v>0</v>
      </c>
      <c r="B1" s="100"/>
      <c r="C1" s="101"/>
      <c r="F1" s="124"/>
      <c r="G1" s="100" t="s">
        <v>171</v>
      </c>
    </row>
    <row r="2" spans="1:11" ht="9" customHeight="1"/>
    <row r="3" spans="1:11" ht="18.75" customHeight="1"/>
    <row r="4" spans="1:11" ht="15.75">
      <c r="A4" s="1155"/>
      <c r="B4" s="1155"/>
      <c r="C4" s="1155"/>
      <c r="D4" s="1155"/>
      <c r="E4" s="1155"/>
      <c r="F4" s="1155"/>
      <c r="G4" s="1155"/>
    </row>
    <row r="5" spans="1:11" ht="15.75">
      <c r="A5" s="1155" t="s">
        <v>2</v>
      </c>
      <c r="B5" s="1155"/>
      <c r="C5" s="1155"/>
      <c r="D5" s="1155"/>
      <c r="E5" s="1155"/>
      <c r="F5" s="1155"/>
      <c r="G5" s="1155"/>
      <c r="H5" s="1155"/>
      <c r="I5" s="1155"/>
      <c r="J5" s="1155"/>
      <c r="K5" s="1155"/>
    </row>
    <row r="6" spans="1:11">
      <c r="A6" s="681"/>
      <c r="B6" s="681"/>
      <c r="C6" s="681"/>
      <c r="D6" s="681"/>
      <c r="E6" s="681"/>
    </row>
    <row r="7" spans="1:11">
      <c r="A7" s="1156" t="s">
        <v>216</v>
      </c>
      <c r="B7" s="1156"/>
      <c r="C7" s="1156"/>
      <c r="D7" s="1156"/>
      <c r="E7" s="1156"/>
      <c r="F7" s="1156"/>
      <c r="G7" s="1156"/>
      <c r="H7" s="1156"/>
      <c r="I7" s="1156"/>
      <c r="J7" s="1156"/>
      <c r="K7" s="1156"/>
    </row>
    <row r="8" spans="1:11" ht="9" customHeight="1">
      <c r="A8" s="680"/>
      <c r="B8" s="680"/>
      <c r="C8" s="680"/>
      <c r="D8" s="680"/>
      <c r="E8" s="680"/>
      <c r="F8" s="680"/>
      <c r="G8" s="680"/>
      <c r="H8" s="680"/>
      <c r="I8" s="680"/>
      <c r="J8" s="680"/>
      <c r="K8" s="680"/>
    </row>
    <row r="9" spans="1:11">
      <c r="A9" s="1173" t="s">
        <v>117</v>
      </c>
      <c r="B9" s="1156"/>
      <c r="C9" s="1156"/>
      <c r="D9" s="1156"/>
      <c r="E9" s="1156"/>
      <c r="F9" s="1156"/>
      <c r="G9" s="1156"/>
      <c r="H9" s="1156"/>
      <c r="I9" s="1156"/>
      <c r="J9" s="1156"/>
      <c r="K9" s="1156"/>
    </row>
    <row r="10" spans="1:11">
      <c r="A10" s="1170">
        <f>'Pet-cash'!$A$11</f>
        <v>40816</v>
      </c>
      <c r="B10" s="1170"/>
      <c r="C10" s="1170"/>
      <c r="D10" s="1170"/>
      <c r="E10" s="1170"/>
      <c r="F10" s="1170"/>
      <c r="G10" s="1170"/>
      <c r="H10" s="1170"/>
      <c r="I10" s="1170"/>
    </row>
    <row r="12" spans="1:11" ht="39" thickBot="1">
      <c r="A12" s="14" t="s">
        <v>217</v>
      </c>
      <c r="B12" s="15" t="s">
        <v>218</v>
      </c>
      <c r="C12" s="15" t="s">
        <v>219</v>
      </c>
      <c r="D12" s="15" t="s">
        <v>220</v>
      </c>
      <c r="E12" s="15" t="s">
        <v>191</v>
      </c>
      <c r="F12" s="15" t="s">
        <v>221</v>
      </c>
      <c r="G12" s="15" t="s">
        <v>222</v>
      </c>
      <c r="H12" s="15" t="s">
        <v>113</v>
      </c>
      <c r="I12" s="15" t="s">
        <v>223</v>
      </c>
    </row>
    <row r="13" spans="1:11" ht="19.5" customHeight="1">
      <c r="A13" s="110" t="s">
        <v>224</v>
      </c>
      <c r="B13" s="31"/>
      <c r="C13" s="31"/>
      <c r="D13" s="201"/>
      <c r="E13" s="135"/>
      <c r="F13" s="136"/>
      <c r="G13" s="30"/>
      <c r="H13" s="30"/>
      <c r="I13" s="126"/>
    </row>
    <row r="14" spans="1:11" ht="19.5" customHeight="1">
      <c r="A14" s="110" t="s">
        <v>225</v>
      </c>
      <c r="B14" s="31"/>
      <c r="C14" s="31"/>
      <c r="D14" s="148"/>
      <c r="E14" s="135"/>
      <c r="F14" s="136"/>
      <c r="G14" s="30"/>
      <c r="H14" s="30"/>
      <c r="I14" s="126"/>
    </row>
    <row r="15" spans="1:11" ht="19.5" customHeight="1">
      <c r="A15" s="110" t="s">
        <v>226</v>
      </c>
      <c r="B15" s="31"/>
      <c r="C15" s="31"/>
      <c r="D15" s="148"/>
      <c r="E15" s="135"/>
      <c r="F15" s="136"/>
      <c r="G15" s="30"/>
      <c r="H15" s="30"/>
      <c r="I15" s="126"/>
    </row>
    <row r="16" spans="1:11" ht="19.5" customHeight="1">
      <c r="A16" s="110" t="s">
        <v>227</v>
      </c>
      <c r="B16" s="31"/>
      <c r="C16" s="31"/>
      <c r="D16" s="148"/>
      <c r="E16" s="135"/>
      <c r="F16" s="136"/>
      <c r="G16" s="30"/>
      <c r="H16" s="30"/>
      <c r="I16" s="126"/>
    </row>
    <row r="17" spans="1:9" ht="19.5" customHeight="1">
      <c r="A17" s="110" t="s">
        <v>228</v>
      </c>
      <c r="B17" s="31"/>
      <c r="C17" s="31"/>
      <c r="D17" s="201"/>
      <c r="E17" s="135"/>
      <c r="F17" s="136"/>
      <c r="G17" s="30"/>
      <c r="H17" s="30"/>
      <c r="I17" s="126"/>
    </row>
    <row r="18" spans="1:9" ht="19.5" customHeight="1">
      <c r="A18" s="110" t="s">
        <v>229</v>
      </c>
      <c r="B18" s="31"/>
      <c r="C18" s="31"/>
      <c r="D18" s="201"/>
      <c r="E18" s="135"/>
      <c r="F18" s="136"/>
      <c r="G18" s="30"/>
      <c r="H18" s="30"/>
      <c r="I18" s="126"/>
    </row>
    <row r="19" spans="1:9" ht="19.5" customHeight="1">
      <c r="A19" s="110"/>
      <c r="B19" s="31"/>
      <c r="C19" s="31"/>
      <c r="D19" s="148"/>
      <c r="E19" s="135"/>
      <c r="F19" s="136"/>
      <c r="G19" s="30"/>
      <c r="H19" s="30"/>
      <c r="I19" s="126" t="s">
        <v>22</v>
      </c>
    </row>
    <row r="20" spans="1:9" ht="19.5" customHeight="1" thickBot="1">
      <c r="A20" s="110"/>
      <c r="B20" s="31"/>
      <c r="C20" s="31"/>
      <c r="D20" s="148"/>
      <c r="E20" s="135"/>
      <c r="F20" s="136"/>
      <c r="G20" s="30"/>
      <c r="H20" s="30"/>
      <c r="I20" s="126"/>
    </row>
    <row r="21" spans="1:9" ht="19.5" customHeight="1" thickBot="1">
      <c r="A21" s="112" t="s">
        <v>62</v>
      </c>
      <c r="B21" s="57"/>
      <c r="C21" s="57"/>
      <c r="D21" s="57"/>
      <c r="E21" s="28">
        <f>SUM(E13:E20)</f>
        <v>0</v>
      </c>
      <c r="F21" s="28">
        <f>SUM(F13:F20)</f>
        <v>0</v>
      </c>
      <c r="G21" s="28">
        <f>SUM(G13:G20)</f>
        <v>0</v>
      </c>
      <c r="H21" s="28">
        <f>SUM(H13:H20)</f>
        <v>0</v>
      </c>
      <c r="I21" s="28"/>
    </row>
    <row r="22" spans="1:9" ht="14.25" customHeight="1" thickTop="1"/>
    <row r="23" spans="1:9">
      <c r="A23" s="17" t="s">
        <v>181</v>
      </c>
      <c r="B23" s="17"/>
      <c r="C23" s="17"/>
      <c r="D23" s="17"/>
    </row>
    <row r="24" spans="1:9">
      <c r="A24" s="2"/>
      <c r="B24" s="2"/>
      <c r="C24" s="2"/>
      <c r="D24" s="2"/>
      <c r="E24" s="2"/>
      <c r="F24" s="2"/>
      <c r="G24" s="2"/>
      <c r="H24" s="2"/>
      <c r="I24" s="2"/>
    </row>
    <row r="25" spans="1:9">
      <c r="A25" s="97">
        <v>22</v>
      </c>
      <c r="H25" s="97" t="s">
        <v>63</v>
      </c>
    </row>
    <row r="26" spans="1:9" ht="3" customHeight="1"/>
  </sheetData>
  <mergeCells count="5">
    <mergeCell ref="A10:I10"/>
    <mergeCell ref="A9:K9"/>
    <mergeCell ref="A4:G4"/>
    <mergeCell ref="A7:K7"/>
    <mergeCell ref="A5:K5"/>
  </mergeCells>
  <phoneticPr fontId="23" type="noConversion"/>
  <printOptions horizontalCentered="1"/>
  <pageMargins left="0.5" right="0.35" top="0.75" bottom="0.5" header="0.5" footer="0.5"/>
  <pageSetup orientation="landscape" horizontalDpi="4294967292" verticalDpi="4294967292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9"/>
  <dimension ref="A1:F80"/>
  <sheetViews>
    <sheetView showGridLines="0" zoomScaleNormal="100" workbookViewId="0">
      <selection activeCell="A5" sqref="A5:C5"/>
    </sheetView>
  </sheetViews>
  <sheetFormatPr defaultRowHeight="12.75"/>
  <cols>
    <col min="1" max="1" width="40.5703125" customWidth="1"/>
    <col min="2" max="2" width="27.42578125" customWidth="1"/>
    <col min="3" max="3" width="60.42578125" customWidth="1"/>
    <col min="6" max="6" width="11" customWidth="1"/>
  </cols>
  <sheetData>
    <row r="1" spans="1:3" ht="19.5">
      <c r="A1" s="100" t="s">
        <v>0</v>
      </c>
      <c r="B1" s="100"/>
      <c r="C1" s="100" t="s">
        <v>230</v>
      </c>
    </row>
    <row r="2" spans="1:3" ht="9" customHeight="1"/>
    <row r="3" spans="1:3" ht="18.75" customHeight="1"/>
    <row r="5" spans="1:3" ht="15.75">
      <c r="A5" s="1155" t="s">
        <v>2</v>
      </c>
      <c r="B5" s="1155"/>
      <c r="C5" s="1155"/>
    </row>
    <row r="6" spans="1:3" ht="14.25" customHeight="1">
      <c r="A6" s="679"/>
      <c r="B6" s="679"/>
      <c r="C6" s="679"/>
    </row>
    <row r="7" spans="1:3">
      <c r="A7" s="1156" t="s">
        <v>231</v>
      </c>
      <c r="B7" s="1156"/>
      <c r="C7" s="1156"/>
    </row>
    <row r="8" spans="1:3" ht="6" customHeight="1">
      <c r="A8" s="680"/>
      <c r="B8" s="680"/>
      <c r="C8" s="680"/>
    </row>
    <row r="9" spans="1:3" ht="15.75" customHeight="1">
      <c r="A9" s="1172" t="s">
        <v>103</v>
      </c>
      <c r="B9" s="1158"/>
      <c r="C9" s="1158"/>
    </row>
    <row r="10" spans="1:3">
      <c r="A10" s="1170">
        <f>'Pet-cash'!$A$11</f>
        <v>40816</v>
      </c>
      <c r="B10" s="1170"/>
      <c r="C10" s="1170"/>
    </row>
    <row r="11" spans="1:3">
      <c r="B11" s="200"/>
    </row>
    <row r="13" spans="1:3" ht="13.5" thickBot="1">
      <c r="A13" s="15" t="s">
        <v>232</v>
      </c>
      <c r="B13" s="15" t="s">
        <v>233</v>
      </c>
      <c r="C13" s="15" t="s">
        <v>234</v>
      </c>
    </row>
    <row r="14" spans="1:3" ht="20.25" hidden="1" customHeight="1">
      <c r="A14" s="115"/>
      <c r="B14" s="268"/>
      <c r="C14" s="196" t="s">
        <v>235</v>
      </c>
    </row>
    <row r="15" spans="1:3" ht="20.25" hidden="1" customHeight="1">
      <c r="A15" s="115"/>
      <c r="B15" s="269"/>
      <c r="C15" s="197" t="s">
        <v>236</v>
      </c>
    </row>
    <row r="16" spans="1:3" ht="20.25" hidden="1" customHeight="1">
      <c r="A16" s="115"/>
      <c r="B16" s="270"/>
      <c r="C16" s="197" t="s">
        <v>237</v>
      </c>
    </row>
    <row r="17" spans="1:3" ht="20.25" hidden="1" customHeight="1">
      <c r="A17" s="270"/>
      <c r="B17" s="270"/>
      <c r="C17" s="652" t="s">
        <v>238</v>
      </c>
    </row>
    <row r="18" spans="1:3" ht="20.25" customHeight="1">
      <c r="A18" s="287"/>
      <c r="B18" s="270">
        <v>2065.48</v>
      </c>
      <c r="C18" s="652" t="s">
        <v>239</v>
      </c>
    </row>
    <row r="19" spans="1:3" ht="20.25" customHeight="1">
      <c r="A19" s="287"/>
      <c r="B19" s="270">
        <v>2156.4699999999998</v>
      </c>
      <c r="C19" s="652" t="s">
        <v>240</v>
      </c>
    </row>
    <row r="20" spans="1:3" ht="20.25" customHeight="1">
      <c r="A20" s="287"/>
      <c r="B20" s="653">
        <v>1789.51</v>
      </c>
      <c r="C20" s="652" t="s">
        <v>241</v>
      </c>
    </row>
    <row r="21" spans="1:3" ht="20.25" customHeight="1">
      <c r="A21" s="287"/>
      <c r="B21" s="653">
        <v>1709.7</v>
      </c>
      <c r="C21" s="652" t="s">
        <v>242</v>
      </c>
    </row>
    <row r="22" spans="1:3" ht="20.25" hidden="1" customHeight="1">
      <c r="A22" s="288"/>
      <c r="B22" s="270"/>
      <c r="C22" s="652" t="s">
        <v>243</v>
      </c>
    </row>
    <row r="23" spans="1:3" ht="20.25" hidden="1" customHeight="1">
      <c r="A23" s="287"/>
      <c r="B23" s="269">
        <f>SUM(B14:B16)</f>
        <v>0</v>
      </c>
      <c r="C23" s="652"/>
    </row>
    <row r="24" spans="1:3" ht="20.25" customHeight="1">
      <c r="A24" s="287"/>
      <c r="B24" s="270"/>
      <c r="C24" s="652"/>
    </row>
    <row r="25" spans="1:3" ht="20.25" customHeight="1">
      <c r="A25" s="287"/>
      <c r="B25" s="269"/>
      <c r="C25" s="652"/>
    </row>
    <row r="26" spans="1:3" ht="20.25" customHeight="1">
      <c r="A26" s="287"/>
      <c r="B26" s="269"/>
      <c r="C26" s="652"/>
    </row>
    <row r="27" spans="1:3" ht="20.25" customHeight="1">
      <c r="A27" s="654"/>
      <c r="B27" s="269"/>
      <c r="C27" s="652"/>
    </row>
    <row r="28" spans="1:3" ht="20.25" customHeight="1">
      <c r="A28" s="289"/>
      <c r="B28" s="269"/>
      <c r="C28" s="195"/>
    </row>
    <row r="29" spans="1:3" ht="20.25" customHeight="1" thickBot="1">
      <c r="A29" s="289"/>
      <c r="B29" s="269"/>
      <c r="C29" s="194"/>
    </row>
    <row r="30" spans="1:3" ht="20.25" customHeight="1" thickBot="1">
      <c r="A30" s="279" t="s">
        <v>62</v>
      </c>
      <c r="B30" s="271">
        <f>SUM(B14:B29)</f>
        <v>7721.16</v>
      </c>
      <c r="C30" s="138"/>
    </row>
    <row r="31" spans="1:3" ht="14.25" customHeight="1" thickTop="1"/>
    <row r="32" spans="1:3">
      <c r="A32" s="17"/>
    </row>
    <row r="36" spans="1:3">
      <c r="A36" s="95"/>
      <c r="B36" s="95"/>
      <c r="C36" s="97"/>
    </row>
    <row r="55" spans="5:5">
      <c r="E55" s="198"/>
    </row>
    <row r="57" spans="5:5">
      <c r="E57" s="198"/>
    </row>
    <row r="58" spans="5:5">
      <c r="E58" s="198"/>
    </row>
    <row r="60" spans="5:5">
      <c r="E60" s="198"/>
    </row>
    <row r="62" spans="5:5">
      <c r="E62" s="198"/>
    </row>
    <row r="64" spans="5:5">
      <c r="E64" s="198"/>
    </row>
    <row r="67" spans="5:6">
      <c r="E67" s="198"/>
    </row>
    <row r="75" spans="5:6">
      <c r="E75" s="198"/>
    </row>
    <row r="78" spans="5:6">
      <c r="E78" s="198"/>
    </row>
    <row r="80" spans="5:6">
      <c r="F80" s="199"/>
    </row>
  </sheetData>
  <mergeCells count="4">
    <mergeCell ref="A7:C7"/>
    <mergeCell ref="A9:C9"/>
    <mergeCell ref="A5:C5"/>
    <mergeCell ref="A10:C10"/>
  </mergeCells>
  <phoneticPr fontId="23" type="noConversion"/>
  <printOptions horizontalCentered="1"/>
  <pageMargins left="0.75" right="0.28000000000000003" top="0.75" bottom="0.5" header="0.5" footer="0.5"/>
  <pageSetup scale="85" orientation="landscape" horizontalDpi="4294967292" verticalDpi="4294967292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K35"/>
  <sheetViews>
    <sheetView showGridLines="0" zoomScaleNormal="100" workbookViewId="0">
      <selection activeCell="A5" sqref="A5:C5"/>
    </sheetView>
  </sheetViews>
  <sheetFormatPr defaultRowHeight="12.75"/>
  <cols>
    <col min="1" max="1" width="35.42578125" customWidth="1"/>
    <col min="2" max="2" width="11.42578125" customWidth="1"/>
    <col min="3" max="3" width="21.42578125" customWidth="1"/>
    <col min="4" max="4" width="19.42578125" customWidth="1"/>
    <col min="5" max="5" width="16.5703125" customWidth="1"/>
    <col min="6" max="6" width="7.5703125" hidden="1" customWidth="1"/>
    <col min="7" max="8" width="9.42578125" hidden="1" customWidth="1"/>
    <col min="9" max="9" width="13.5703125" customWidth="1"/>
  </cols>
  <sheetData>
    <row r="1" spans="1:11" ht="19.5">
      <c r="A1" s="100" t="s">
        <v>0</v>
      </c>
      <c r="B1" s="100"/>
      <c r="C1" s="101"/>
      <c r="E1" s="100" t="s">
        <v>244</v>
      </c>
    </row>
    <row r="2" spans="1:11" ht="9" customHeight="1"/>
    <row r="3" spans="1:11" ht="18.75" customHeight="1">
      <c r="K3" s="108"/>
    </row>
    <row r="5" spans="1:11" ht="15.75">
      <c r="A5" s="1155" t="s">
        <v>136</v>
      </c>
      <c r="B5" s="1155"/>
      <c r="C5" s="1155"/>
      <c r="D5" s="1155"/>
      <c r="E5" s="1155"/>
      <c r="F5" s="1155"/>
      <c r="G5" s="1155"/>
      <c r="H5" s="1155"/>
      <c r="I5" s="1155"/>
    </row>
    <row r="7" spans="1:11">
      <c r="A7" s="1156" t="s">
        <v>245</v>
      </c>
      <c r="B7" s="1156"/>
      <c r="C7" s="1156"/>
      <c r="D7" s="1156"/>
      <c r="E7" s="1156"/>
      <c r="F7" s="1156"/>
      <c r="G7" s="1156"/>
      <c r="H7" s="1156"/>
      <c r="I7" s="1156"/>
    </row>
    <row r="8" spans="1:11" ht="6" customHeight="1"/>
    <row r="9" spans="1:11" ht="15.75" customHeight="1">
      <c r="A9" s="1158" t="s">
        <v>246</v>
      </c>
      <c r="B9" s="1158"/>
      <c r="C9" s="1158"/>
      <c r="D9" s="1158"/>
      <c r="E9" s="1158"/>
      <c r="F9" s="1158"/>
      <c r="G9" s="1158"/>
      <c r="H9" s="1158"/>
      <c r="I9" s="1158"/>
    </row>
    <row r="12" spans="1:11" ht="26.25" thickBot="1">
      <c r="A12" s="14" t="s">
        <v>247</v>
      </c>
      <c r="B12" s="14" t="s">
        <v>248</v>
      </c>
      <c r="C12" s="15" t="s">
        <v>121</v>
      </c>
      <c r="D12" s="15" t="s">
        <v>249</v>
      </c>
      <c r="E12" s="15" t="s">
        <v>250</v>
      </c>
      <c r="F12" s="14"/>
      <c r="G12" s="14"/>
      <c r="H12" s="14"/>
      <c r="I12" s="15" t="s">
        <v>251</v>
      </c>
    </row>
    <row r="13" spans="1:11" ht="17.25" customHeight="1">
      <c r="A13" s="109"/>
      <c r="B13" s="55"/>
      <c r="C13" s="32"/>
      <c r="D13" s="32"/>
      <c r="E13" s="32"/>
      <c r="F13" s="32"/>
      <c r="G13" s="32"/>
      <c r="H13" s="32"/>
      <c r="I13" s="32"/>
    </row>
    <row r="14" spans="1:11" ht="17.25" customHeight="1">
      <c r="A14" s="116"/>
      <c r="B14" s="29"/>
      <c r="C14" s="33"/>
      <c r="D14" s="33"/>
      <c r="E14" s="33"/>
      <c r="F14" s="33"/>
      <c r="G14" s="33"/>
      <c r="H14" s="33"/>
      <c r="I14" s="33"/>
    </row>
    <row r="15" spans="1:11" ht="17.25" customHeight="1">
      <c r="A15" s="116"/>
      <c r="B15" s="29"/>
      <c r="C15" s="33"/>
      <c r="D15" s="33"/>
      <c r="E15" s="33"/>
      <c r="F15" s="33"/>
      <c r="G15" s="33"/>
      <c r="H15" s="33"/>
      <c r="I15" s="33"/>
    </row>
    <row r="16" spans="1:11" ht="17.25" customHeight="1">
      <c r="A16" s="116"/>
      <c r="B16" s="29"/>
      <c r="C16" s="33"/>
      <c r="D16" s="33"/>
      <c r="E16" s="33"/>
      <c r="F16" s="33"/>
      <c r="G16" s="33"/>
      <c r="H16" s="33"/>
      <c r="I16" s="33"/>
    </row>
    <row r="17" spans="1:9" ht="17.25" customHeight="1">
      <c r="A17" s="116"/>
      <c r="B17" s="29"/>
      <c r="C17" s="33"/>
      <c r="D17" s="33"/>
      <c r="E17" s="33"/>
      <c r="F17" s="33"/>
      <c r="G17" s="33"/>
      <c r="H17" s="33"/>
      <c r="I17" s="33"/>
    </row>
    <row r="18" spans="1:9" ht="17.25" customHeight="1">
      <c r="A18" s="116"/>
      <c r="B18" s="29"/>
      <c r="C18" s="33"/>
      <c r="D18" s="33"/>
      <c r="E18" s="33"/>
      <c r="F18" s="33"/>
      <c r="G18" s="33"/>
      <c r="H18" s="33"/>
      <c r="I18" s="33"/>
    </row>
    <row r="19" spans="1:9" ht="17.25" customHeight="1">
      <c r="A19" s="116"/>
      <c r="B19" s="29"/>
      <c r="C19" s="33"/>
      <c r="D19" s="33"/>
      <c r="E19" s="33"/>
      <c r="F19" s="33"/>
      <c r="G19" s="33"/>
      <c r="H19" s="33"/>
      <c r="I19" s="33"/>
    </row>
    <row r="20" spans="1:9" ht="17.25" customHeight="1">
      <c r="A20" s="116"/>
      <c r="B20" s="29"/>
      <c r="C20" s="33"/>
      <c r="D20" s="33"/>
      <c r="E20" s="33"/>
      <c r="F20" s="33"/>
      <c r="G20" s="33"/>
      <c r="H20" s="33"/>
      <c r="I20" s="33"/>
    </row>
    <row r="21" spans="1:9" ht="17.25" customHeight="1">
      <c r="A21" s="116"/>
      <c r="B21" s="29"/>
      <c r="C21" s="33"/>
      <c r="D21" s="33"/>
      <c r="E21" s="33"/>
      <c r="F21" s="33"/>
      <c r="G21" s="33"/>
      <c r="H21" s="33"/>
      <c r="I21" s="33"/>
    </row>
    <row r="22" spans="1:9" ht="17.25" customHeight="1">
      <c r="A22" s="116"/>
      <c r="B22" s="29"/>
      <c r="C22" s="33"/>
      <c r="D22" s="33"/>
      <c r="E22" s="33"/>
      <c r="F22" s="33"/>
      <c r="G22" s="33"/>
      <c r="H22" s="33"/>
      <c r="I22" s="33"/>
    </row>
    <row r="23" spans="1:9" ht="17.25" customHeight="1">
      <c r="A23" s="116"/>
      <c r="B23" s="29"/>
      <c r="C23" s="33"/>
      <c r="D23" s="33"/>
      <c r="E23" s="33"/>
      <c r="F23" s="33"/>
      <c r="G23" s="33"/>
      <c r="H23" s="33"/>
      <c r="I23" s="33"/>
    </row>
    <row r="24" spans="1:9" ht="17.25" customHeight="1">
      <c r="A24" s="116"/>
      <c r="B24" s="29"/>
      <c r="C24" s="33"/>
      <c r="D24" s="33"/>
      <c r="E24" s="33"/>
      <c r="F24" s="33"/>
      <c r="G24" s="33"/>
      <c r="H24" s="33"/>
      <c r="I24" s="33"/>
    </row>
    <row r="25" spans="1:9" ht="17.25" customHeight="1">
      <c r="A25" s="116"/>
      <c r="B25" s="29"/>
      <c r="C25" s="33"/>
      <c r="D25" s="33"/>
      <c r="E25" s="33"/>
      <c r="F25" s="33"/>
      <c r="G25" s="33"/>
      <c r="H25" s="33"/>
      <c r="I25" s="33"/>
    </row>
    <row r="26" spans="1:9" ht="17.25" customHeight="1">
      <c r="A26" s="116"/>
      <c r="B26" s="29"/>
      <c r="C26" s="33"/>
      <c r="D26" s="33"/>
      <c r="E26" s="33"/>
      <c r="F26" s="33"/>
      <c r="G26" s="33"/>
      <c r="H26" s="33"/>
      <c r="I26" s="33"/>
    </row>
    <row r="27" spans="1:9" ht="17.25" customHeight="1">
      <c r="A27" s="116"/>
      <c r="B27" s="29"/>
      <c r="C27" s="33"/>
      <c r="D27" s="33"/>
      <c r="E27" s="33"/>
      <c r="F27" s="33"/>
      <c r="G27" s="33"/>
      <c r="H27" s="33"/>
      <c r="I27" s="33"/>
    </row>
    <row r="28" spans="1:9" ht="17.25" customHeight="1" thickBot="1">
      <c r="A28" s="116"/>
      <c r="B28" s="56"/>
      <c r="C28" s="35"/>
      <c r="D28" s="33"/>
      <c r="E28" s="33"/>
      <c r="F28" s="35"/>
      <c r="G28" s="35"/>
      <c r="H28" s="35"/>
      <c r="I28" s="35"/>
    </row>
    <row r="29" spans="1:9" ht="17.25" customHeight="1" thickBot="1">
      <c r="A29" s="112" t="s">
        <v>62</v>
      </c>
      <c r="B29" s="39"/>
      <c r="C29" s="140">
        <f>SUM(C13:C28)</f>
        <v>0</v>
      </c>
      <c r="D29" s="140">
        <f>SUM(D13:D28)</f>
        <v>0</v>
      </c>
      <c r="E29" s="28">
        <f>SUM(E13:E28)</f>
        <v>0</v>
      </c>
      <c r="F29" s="28"/>
      <c r="G29" s="28"/>
      <c r="H29" s="28"/>
      <c r="I29" s="140">
        <f>SUM(I13:I28)</f>
        <v>0</v>
      </c>
    </row>
    <row r="30" spans="1:9" ht="13.5" thickTop="1"/>
    <row r="31" spans="1:9">
      <c r="A31" s="17" t="s">
        <v>252</v>
      </c>
      <c r="C31" s="9"/>
    </row>
    <row r="33" spans="1:9">
      <c r="A33" s="97">
        <v>28</v>
      </c>
      <c r="E33" s="97" t="s">
        <v>63</v>
      </c>
    </row>
    <row r="34" spans="1:9">
      <c r="A34" s="684"/>
    </row>
    <row r="35" spans="1:9">
      <c r="A35" s="97"/>
      <c r="I35" s="96"/>
    </row>
  </sheetData>
  <mergeCells count="3">
    <mergeCell ref="A5:I5"/>
    <mergeCell ref="A7:I7"/>
    <mergeCell ref="A9:I9"/>
  </mergeCells>
  <phoneticPr fontId="23" type="noConversion"/>
  <printOptions horizontalCentered="1"/>
  <pageMargins left="1" right="0.37" top="0.75" bottom="0.5" header="0.5" footer="0.5"/>
  <pageSetup orientation="landscape" horizontalDpi="4294967292" verticalDpi="4294967292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5"/>
  <dimension ref="A1:M34"/>
  <sheetViews>
    <sheetView showGridLines="0" zoomScaleNormal="100" workbookViewId="0">
      <selection activeCell="A5" sqref="A5:C5"/>
    </sheetView>
  </sheetViews>
  <sheetFormatPr defaultRowHeight="12.75"/>
  <cols>
    <col min="1" max="1" width="27" customWidth="1"/>
    <col min="2" max="2" width="23.5703125" customWidth="1"/>
    <col min="3" max="3" width="13.42578125" customWidth="1"/>
    <col min="4" max="4" width="13.5703125" customWidth="1"/>
    <col min="5" max="5" width="11.42578125" customWidth="1"/>
    <col min="6" max="6" width="11" customWidth="1"/>
    <col min="7" max="7" width="11.5703125" customWidth="1"/>
    <col min="8" max="8" width="7.5703125" hidden="1" customWidth="1"/>
    <col min="9" max="10" width="9.42578125" hidden="1" customWidth="1"/>
    <col min="11" max="11" width="12.42578125" customWidth="1"/>
    <col min="12" max="12" width="17" customWidth="1"/>
  </cols>
  <sheetData>
    <row r="1" spans="1:13" ht="19.5">
      <c r="A1" s="100" t="s">
        <v>0</v>
      </c>
      <c r="B1" s="100"/>
      <c r="C1" s="101"/>
      <c r="F1" s="108" t="s">
        <v>253</v>
      </c>
    </row>
    <row r="2" spans="1:13" ht="9" customHeight="1"/>
    <row r="3" spans="1:13" ht="18.75" customHeight="1">
      <c r="M3" s="108"/>
    </row>
    <row r="5" spans="1:13" ht="15.75">
      <c r="A5" s="1155" t="s">
        <v>184</v>
      </c>
      <c r="B5" s="1155"/>
      <c r="C5" s="1155"/>
      <c r="D5" s="1155"/>
      <c r="E5" s="1155"/>
      <c r="F5" s="1155"/>
      <c r="G5" s="1155"/>
      <c r="H5" s="1155"/>
      <c r="I5" s="1155"/>
      <c r="J5" s="1155"/>
      <c r="K5" s="1155"/>
    </row>
    <row r="6" spans="1:13">
      <c r="A6" s="681"/>
      <c r="B6" s="681"/>
      <c r="C6" s="681"/>
      <c r="D6" s="681"/>
      <c r="E6" s="681"/>
      <c r="F6" s="681"/>
    </row>
    <row r="7" spans="1:13">
      <c r="A7" s="1156" t="s">
        <v>149</v>
      </c>
      <c r="B7" s="1156"/>
      <c r="C7" s="1156"/>
      <c r="D7" s="1156"/>
      <c r="E7" s="1156"/>
      <c r="F7" s="1156"/>
      <c r="G7" s="1156"/>
      <c r="H7" s="1156"/>
      <c r="I7" s="1156"/>
      <c r="J7" s="1156"/>
      <c r="K7" s="1156"/>
    </row>
    <row r="8" spans="1:13" ht="9" customHeight="1">
      <c r="A8" s="680"/>
      <c r="B8" s="680"/>
      <c r="C8" s="680"/>
      <c r="D8" s="680"/>
      <c r="E8" s="680"/>
      <c r="F8" s="680"/>
      <c r="G8" s="680"/>
      <c r="H8" s="680"/>
      <c r="I8" s="680"/>
      <c r="J8" s="680"/>
      <c r="K8" s="680"/>
    </row>
    <row r="9" spans="1:13">
      <c r="A9" s="1158" t="s">
        <v>66</v>
      </c>
      <c r="B9" s="1158"/>
      <c r="C9" s="1158"/>
      <c r="D9" s="1158"/>
      <c r="E9" s="1158"/>
      <c r="F9" s="1158"/>
      <c r="G9" s="1158"/>
      <c r="H9" s="1158"/>
      <c r="I9" s="1158"/>
      <c r="J9" s="1158"/>
      <c r="K9" s="1158"/>
    </row>
    <row r="12" spans="1:13" ht="26.25" thickBot="1">
      <c r="A12" s="14" t="s">
        <v>144</v>
      </c>
      <c r="B12" s="14" t="s">
        <v>150</v>
      </c>
      <c r="C12" s="15" t="s">
        <v>151</v>
      </c>
      <c r="D12" s="15" t="s">
        <v>152</v>
      </c>
      <c r="E12" s="15" t="s">
        <v>153</v>
      </c>
      <c r="F12" s="15" t="s">
        <v>154</v>
      </c>
      <c r="G12" s="15" t="s">
        <v>155</v>
      </c>
      <c r="H12" s="14"/>
      <c r="I12" s="14"/>
      <c r="J12" s="14"/>
      <c r="K12" s="15" t="s">
        <v>156</v>
      </c>
    </row>
    <row r="13" spans="1:13" ht="18" customHeight="1">
      <c r="A13" s="110" t="s">
        <v>254</v>
      </c>
      <c r="B13" s="120" t="s">
        <v>255</v>
      </c>
      <c r="C13" s="36"/>
      <c r="D13" s="36"/>
      <c r="E13" s="40"/>
      <c r="F13" s="40"/>
      <c r="G13" s="40"/>
      <c r="H13" s="40"/>
      <c r="I13" s="40"/>
      <c r="J13" s="40"/>
      <c r="K13" s="40"/>
    </row>
    <row r="14" spans="1:13" ht="18" customHeight="1">
      <c r="A14" s="110"/>
      <c r="B14" s="121"/>
      <c r="C14" s="37"/>
      <c r="D14" s="37"/>
      <c r="E14" s="30"/>
      <c r="F14" s="30"/>
      <c r="G14" s="30"/>
      <c r="H14" s="30"/>
      <c r="I14" s="30"/>
      <c r="J14" s="30"/>
      <c r="K14" s="30"/>
    </row>
    <row r="15" spans="1:13" ht="18" customHeight="1">
      <c r="A15" s="110"/>
      <c r="B15" s="121"/>
      <c r="C15" s="37"/>
      <c r="D15" s="37"/>
      <c r="E15" s="30"/>
      <c r="F15" s="30"/>
      <c r="G15" s="30"/>
      <c r="H15" s="30"/>
      <c r="I15" s="30"/>
      <c r="J15" s="30"/>
      <c r="K15" s="30"/>
    </row>
    <row r="16" spans="1:13" ht="18" customHeight="1">
      <c r="A16" s="110"/>
      <c r="B16" s="121"/>
      <c r="C16" s="37"/>
      <c r="D16" s="37"/>
      <c r="E16" s="30"/>
      <c r="F16" s="30"/>
      <c r="G16" s="30"/>
      <c r="H16" s="30"/>
      <c r="I16" s="30"/>
      <c r="J16" s="30"/>
      <c r="K16" s="30"/>
    </row>
    <row r="17" spans="1:11" ht="18" customHeight="1">
      <c r="A17" s="110"/>
      <c r="B17" s="121"/>
      <c r="C17" s="37"/>
      <c r="D17" s="37"/>
      <c r="E17" s="30"/>
      <c r="F17" s="30"/>
      <c r="G17" s="30"/>
      <c r="H17" s="30"/>
      <c r="I17" s="30"/>
      <c r="J17" s="30"/>
      <c r="K17" s="30"/>
    </row>
    <row r="18" spans="1:11" ht="18" customHeight="1">
      <c r="A18" s="110"/>
      <c r="B18" s="121"/>
      <c r="C18" s="37"/>
      <c r="D18" s="37"/>
      <c r="E18" s="30"/>
      <c r="F18" s="30"/>
      <c r="G18" s="30"/>
      <c r="H18" s="30"/>
      <c r="I18" s="30"/>
      <c r="J18" s="30"/>
      <c r="K18" s="30"/>
    </row>
    <row r="19" spans="1:11" ht="18" customHeight="1">
      <c r="A19" s="110"/>
      <c r="B19" s="121"/>
      <c r="C19" s="37"/>
      <c r="D19" s="37"/>
      <c r="E19" s="30"/>
      <c r="F19" s="30"/>
      <c r="G19" s="30"/>
      <c r="H19" s="30"/>
      <c r="I19" s="30"/>
      <c r="J19" s="30"/>
      <c r="K19" s="30"/>
    </row>
    <row r="20" spans="1:11" ht="18" customHeight="1">
      <c r="A20" s="110"/>
      <c r="B20" s="121"/>
      <c r="C20" s="37"/>
      <c r="D20" s="37"/>
      <c r="E20" s="30"/>
      <c r="F20" s="30"/>
      <c r="G20" s="30"/>
      <c r="H20" s="30"/>
      <c r="I20" s="30"/>
      <c r="J20" s="30"/>
      <c r="K20" s="30"/>
    </row>
    <row r="21" spans="1:11" ht="18" customHeight="1">
      <c r="A21" s="110"/>
      <c r="B21" s="121"/>
      <c r="C21" s="37"/>
      <c r="D21" s="37"/>
      <c r="E21" s="30"/>
      <c r="F21" s="30"/>
      <c r="G21" s="30"/>
      <c r="H21" s="30"/>
      <c r="I21" s="30"/>
      <c r="J21" s="30"/>
      <c r="K21" s="30"/>
    </row>
    <row r="22" spans="1:11" ht="18" customHeight="1">
      <c r="A22" s="110"/>
      <c r="B22" s="121"/>
      <c r="C22" s="37"/>
      <c r="D22" s="37"/>
      <c r="E22" s="30"/>
      <c r="F22" s="30"/>
      <c r="G22" s="30"/>
      <c r="H22" s="30"/>
      <c r="I22" s="30"/>
      <c r="J22" s="30"/>
      <c r="K22" s="30"/>
    </row>
    <row r="23" spans="1:11" ht="18" customHeight="1">
      <c r="A23" s="110"/>
      <c r="B23" s="121"/>
      <c r="C23" s="37"/>
      <c r="D23" s="37"/>
      <c r="E23" s="30"/>
      <c r="F23" s="30"/>
      <c r="G23" s="30"/>
      <c r="H23" s="30"/>
      <c r="I23" s="30"/>
      <c r="J23" s="30"/>
      <c r="K23" s="30"/>
    </row>
    <row r="24" spans="1:11" ht="18" customHeight="1">
      <c r="A24" s="110"/>
      <c r="B24" s="121"/>
      <c r="C24" s="37"/>
      <c r="D24" s="37"/>
      <c r="E24" s="30"/>
      <c r="F24" s="30"/>
      <c r="G24" s="30"/>
      <c r="H24" s="30"/>
      <c r="I24" s="30"/>
      <c r="J24" s="30"/>
      <c r="K24" s="30"/>
    </row>
    <row r="25" spans="1:11" ht="18" customHeight="1">
      <c r="A25" s="110"/>
      <c r="B25" s="121"/>
      <c r="C25" s="37"/>
      <c r="D25" s="37"/>
      <c r="E25" s="30"/>
      <c r="F25" s="30"/>
      <c r="G25" s="30"/>
      <c r="H25" s="30"/>
      <c r="I25" s="30"/>
      <c r="J25" s="30"/>
      <c r="K25" s="30"/>
    </row>
    <row r="26" spans="1:11" ht="18" customHeight="1" thickBot="1">
      <c r="A26" s="110"/>
      <c r="B26" s="122"/>
      <c r="C26" s="38"/>
      <c r="D26" s="38"/>
      <c r="E26" s="41"/>
      <c r="F26" s="41"/>
      <c r="G26" s="41"/>
      <c r="H26" s="41"/>
      <c r="I26" s="41"/>
      <c r="J26" s="41"/>
      <c r="K26" s="41"/>
    </row>
    <row r="27" spans="1:11" ht="18" customHeight="1" thickBot="1">
      <c r="A27" s="123" t="s">
        <v>62</v>
      </c>
      <c r="B27" s="655"/>
      <c r="C27" s="655"/>
      <c r="D27" s="655"/>
      <c r="E27" s="28">
        <f>SUM(E13:E26)</f>
        <v>0</v>
      </c>
      <c r="F27" s="28">
        <f>SUM(F13:F26)</f>
        <v>0</v>
      </c>
      <c r="G27" s="28">
        <f>SUM(G13:G26)</f>
        <v>0</v>
      </c>
      <c r="H27" s="28"/>
      <c r="I27" s="28"/>
      <c r="J27" s="28"/>
      <c r="K27" s="28">
        <f>SUM(K13:K26)</f>
        <v>0</v>
      </c>
    </row>
    <row r="28" spans="1:11" ht="13.5" thickTop="1"/>
    <row r="29" spans="1:11">
      <c r="A29" s="17" t="s">
        <v>256</v>
      </c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95">
        <v>37</v>
      </c>
      <c r="F31" s="97" t="s">
        <v>158</v>
      </c>
      <c r="K31" s="96"/>
    </row>
    <row r="32" spans="1:11">
      <c r="A32" s="97"/>
    </row>
    <row r="34" spans="1:11">
      <c r="A34" s="95"/>
      <c r="K34" s="96"/>
    </row>
  </sheetData>
  <mergeCells count="3">
    <mergeCell ref="A7:K7"/>
    <mergeCell ref="A9:K9"/>
    <mergeCell ref="A5:K5"/>
  </mergeCells>
  <phoneticPr fontId="23" type="noConversion"/>
  <printOptions horizontalCentered="1"/>
  <pageMargins left="0.75" right="0.37" top="0.75" bottom="0.5" header="0.5" footer="0.5"/>
  <pageSetup orientation="landscape" horizontalDpi="4294967292" verticalDpi="4294967292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6"/>
  <dimension ref="A1:I34"/>
  <sheetViews>
    <sheetView showGridLines="0" zoomScaleNormal="100" workbookViewId="0">
      <selection activeCell="A5" sqref="A5:C5"/>
    </sheetView>
  </sheetViews>
  <sheetFormatPr defaultRowHeight="12.75"/>
  <cols>
    <col min="1" max="1" width="35.42578125" customWidth="1"/>
    <col min="2" max="2" width="11.42578125" customWidth="1"/>
    <col min="3" max="3" width="21.42578125" customWidth="1"/>
    <col min="4" max="4" width="19.42578125" customWidth="1"/>
    <col min="5" max="5" width="16.5703125" customWidth="1"/>
    <col min="6" max="6" width="7.5703125" hidden="1" customWidth="1"/>
    <col min="7" max="8" width="9.42578125" hidden="1" customWidth="1"/>
    <col min="9" max="9" width="13.5703125" customWidth="1"/>
  </cols>
  <sheetData>
    <row r="1" spans="1:9" ht="19.5">
      <c r="A1" s="100" t="s">
        <v>0</v>
      </c>
      <c r="B1" s="100"/>
      <c r="C1" s="101"/>
      <c r="E1" s="108" t="s">
        <v>257</v>
      </c>
    </row>
    <row r="2" spans="1:9" ht="9" customHeight="1"/>
    <row r="3" spans="1:9" ht="18.75" customHeight="1"/>
    <row r="5" spans="1:9" ht="15.75">
      <c r="A5" s="1155" t="s">
        <v>184</v>
      </c>
      <c r="B5" s="1155"/>
      <c r="C5" s="1155"/>
      <c r="D5" s="1155"/>
      <c r="E5" s="1155"/>
      <c r="F5" s="1155"/>
      <c r="G5" s="1155"/>
      <c r="H5" s="1155"/>
      <c r="I5" s="1155"/>
    </row>
    <row r="7" spans="1:9">
      <c r="A7" s="1156" t="s">
        <v>258</v>
      </c>
      <c r="B7" s="1156"/>
      <c r="C7" s="1156"/>
      <c r="D7" s="1156"/>
      <c r="E7" s="1156"/>
      <c r="F7" s="1156"/>
      <c r="G7" s="1156"/>
      <c r="H7" s="1156"/>
      <c r="I7" s="1156"/>
    </row>
    <row r="8" spans="1:9" ht="6" customHeight="1"/>
    <row r="9" spans="1:9" ht="15.75" customHeight="1">
      <c r="A9" s="1158" t="s">
        <v>259</v>
      </c>
      <c r="B9" s="1158"/>
      <c r="C9" s="1158"/>
      <c r="D9" s="1158"/>
      <c r="E9" s="1158"/>
      <c r="F9" s="1158"/>
      <c r="G9" s="1158"/>
      <c r="H9" s="1158"/>
      <c r="I9" s="1158"/>
    </row>
    <row r="12" spans="1:9" ht="26.25" thickBot="1">
      <c r="A12" s="14" t="s">
        <v>247</v>
      </c>
      <c r="B12" s="14" t="s">
        <v>248</v>
      </c>
      <c r="C12" s="15" t="s">
        <v>121</v>
      </c>
      <c r="D12" s="15" t="s">
        <v>249</v>
      </c>
      <c r="E12" s="15" t="s">
        <v>250</v>
      </c>
      <c r="F12" s="14"/>
      <c r="G12" s="14"/>
      <c r="H12" s="14"/>
      <c r="I12" s="15" t="s">
        <v>251</v>
      </c>
    </row>
    <row r="13" spans="1:9" ht="17.25" customHeight="1">
      <c r="A13" s="109"/>
      <c r="B13" s="55"/>
      <c r="C13" s="32"/>
      <c r="D13" s="32"/>
      <c r="E13" s="32"/>
      <c r="F13" s="32"/>
      <c r="G13" s="32"/>
      <c r="H13" s="32"/>
      <c r="I13" s="32"/>
    </row>
    <row r="14" spans="1:9" ht="17.25" customHeight="1">
      <c r="A14" s="116"/>
      <c r="B14" s="29"/>
      <c r="C14" s="33"/>
      <c r="D14" s="33"/>
      <c r="E14" s="33"/>
      <c r="F14" s="33"/>
      <c r="G14" s="33"/>
      <c r="H14" s="33"/>
      <c r="I14" s="33"/>
    </row>
    <row r="15" spans="1:9" ht="17.25" customHeight="1">
      <c r="A15" s="116"/>
      <c r="B15" s="29"/>
      <c r="C15" s="33"/>
      <c r="D15" s="33"/>
      <c r="E15" s="33"/>
      <c r="F15" s="33"/>
      <c r="G15" s="33"/>
      <c r="H15" s="33"/>
      <c r="I15" s="33"/>
    </row>
    <row r="16" spans="1:9" ht="17.25" customHeight="1">
      <c r="A16" s="116"/>
      <c r="B16" s="29"/>
      <c r="C16" s="33"/>
      <c r="D16" s="33"/>
      <c r="E16" s="33"/>
      <c r="F16" s="33"/>
      <c r="G16" s="33"/>
      <c r="H16" s="33"/>
      <c r="I16" s="33"/>
    </row>
    <row r="17" spans="1:9" ht="17.25" customHeight="1">
      <c r="A17" s="116"/>
      <c r="B17" s="29"/>
      <c r="C17" s="33"/>
      <c r="D17" s="33"/>
      <c r="E17" s="33"/>
      <c r="F17" s="33"/>
      <c r="G17" s="33"/>
      <c r="H17" s="33"/>
      <c r="I17" s="33"/>
    </row>
    <row r="18" spans="1:9" ht="17.25" customHeight="1">
      <c r="A18" s="116"/>
      <c r="B18" s="29"/>
      <c r="C18" s="33"/>
      <c r="D18" s="33"/>
      <c r="E18" s="33"/>
      <c r="F18" s="33"/>
      <c r="G18" s="33"/>
      <c r="H18" s="33"/>
      <c r="I18" s="33"/>
    </row>
    <row r="19" spans="1:9" ht="17.25" customHeight="1">
      <c r="A19" s="116"/>
      <c r="B19" s="29"/>
      <c r="C19" s="33"/>
      <c r="D19" s="33"/>
      <c r="E19" s="33"/>
      <c r="F19" s="33"/>
      <c r="G19" s="33"/>
      <c r="H19" s="33"/>
      <c r="I19" s="33"/>
    </row>
    <row r="20" spans="1:9" ht="17.25" customHeight="1">
      <c r="A20" s="116"/>
      <c r="B20" s="29"/>
      <c r="C20" s="33"/>
      <c r="D20" s="33"/>
      <c r="E20" s="33"/>
      <c r="F20" s="33"/>
      <c r="G20" s="33"/>
      <c r="H20" s="33"/>
      <c r="I20" s="33"/>
    </row>
    <row r="21" spans="1:9" ht="17.25" customHeight="1">
      <c r="A21" s="116"/>
      <c r="B21" s="29"/>
      <c r="C21" s="33"/>
      <c r="D21" s="33"/>
      <c r="E21" s="33"/>
      <c r="F21" s="33"/>
      <c r="G21" s="33"/>
      <c r="H21" s="33"/>
      <c r="I21" s="33"/>
    </row>
    <row r="22" spans="1:9" ht="17.25" customHeight="1">
      <c r="A22" s="116"/>
      <c r="B22" s="29"/>
      <c r="C22" s="33"/>
      <c r="D22" s="33"/>
      <c r="E22" s="33"/>
      <c r="F22" s="33"/>
      <c r="G22" s="33"/>
      <c r="H22" s="33"/>
      <c r="I22" s="33"/>
    </row>
    <row r="23" spans="1:9" ht="17.25" customHeight="1">
      <c r="A23" s="116"/>
      <c r="B23" s="29"/>
      <c r="C23" s="33"/>
      <c r="D23" s="33"/>
      <c r="E23" s="33"/>
      <c r="F23" s="33"/>
      <c r="G23" s="33"/>
      <c r="H23" s="33"/>
      <c r="I23" s="33"/>
    </row>
    <row r="24" spans="1:9" ht="17.25" customHeight="1">
      <c r="A24" s="116"/>
      <c r="B24" s="29"/>
      <c r="C24" s="33"/>
      <c r="D24" s="33"/>
      <c r="E24" s="33"/>
      <c r="F24" s="33"/>
      <c r="G24" s="33"/>
      <c r="H24" s="33"/>
      <c r="I24" s="33"/>
    </row>
    <row r="25" spans="1:9" ht="17.25" customHeight="1">
      <c r="A25" s="116"/>
      <c r="B25" s="29"/>
      <c r="C25" s="33"/>
      <c r="D25" s="33"/>
      <c r="E25" s="33"/>
      <c r="F25" s="33"/>
      <c r="G25" s="33"/>
      <c r="H25" s="33"/>
      <c r="I25" s="33"/>
    </row>
    <row r="26" spans="1:9" ht="17.25" customHeight="1" thickBot="1">
      <c r="A26" s="116"/>
      <c r="B26" s="56"/>
      <c r="C26" s="35"/>
      <c r="D26" s="35"/>
      <c r="E26" s="35"/>
      <c r="F26" s="35"/>
      <c r="G26" s="35"/>
      <c r="H26" s="35"/>
      <c r="I26" s="35"/>
    </row>
    <row r="27" spans="1:9" ht="17.25" customHeight="1" thickBot="1">
      <c r="A27" s="112" t="s">
        <v>62</v>
      </c>
      <c r="B27" s="39"/>
      <c r="C27" s="28">
        <f>SUM(C13:C26)</f>
        <v>0</v>
      </c>
      <c r="D27" s="28">
        <f>SUM(D13:D26)</f>
        <v>0</v>
      </c>
      <c r="E27" s="28">
        <f>SUM(E13:E26)</f>
        <v>0</v>
      </c>
      <c r="F27" s="28"/>
      <c r="G27" s="28"/>
      <c r="H27" s="28"/>
      <c r="I27" s="28">
        <f>SUM(I13:I26)</f>
        <v>0</v>
      </c>
    </row>
    <row r="28" spans="1:9" ht="13.5" thickTop="1"/>
    <row r="29" spans="1:9">
      <c r="A29" s="17" t="s">
        <v>252</v>
      </c>
      <c r="C29" s="9"/>
    </row>
    <row r="31" spans="1:9" ht="14.25" customHeight="1">
      <c r="A31" s="98"/>
      <c r="B31" s="2"/>
      <c r="C31" s="2"/>
      <c r="D31" s="2"/>
      <c r="E31" s="2"/>
      <c r="F31" s="2"/>
      <c r="G31" s="2"/>
      <c r="H31" s="2"/>
      <c r="I31" s="105"/>
    </row>
    <row r="32" spans="1:9">
      <c r="A32" s="97">
        <v>38</v>
      </c>
      <c r="E32" s="97" t="s">
        <v>63</v>
      </c>
    </row>
    <row r="33" spans="1:9">
      <c r="A33" s="684"/>
    </row>
    <row r="34" spans="1:9">
      <c r="A34" s="97"/>
      <c r="I34" s="96"/>
    </row>
  </sheetData>
  <mergeCells count="3">
    <mergeCell ref="A5:I5"/>
    <mergeCell ref="A7:I7"/>
    <mergeCell ref="A9:I9"/>
  </mergeCells>
  <phoneticPr fontId="23" type="noConversion"/>
  <printOptions horizontalCentered="1"/>
  <pageMargins left="1" right="0.37" top="0.75" bottom="0.5" header="0.5" footer="0.5"/>
  <pageSetup orientation="landscape" horizontalDpi="4294967292" verticalDpi="4294967292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7"/>
  <dimension ref="A1:J55"/>
  <sheetViews>
    <sheetView showGridLines="0" zoomScaleNormal="100" workbookViewId="0">
      <selection activeCell="A5" sqref="A5:I5"/>
    </sheetView>
  </sheetViews>
  <sheetFormatPr defaultRowHeight="12.75"/>
  <cols>
    <col min="1" max="1" width="9.42578125" customWidth="1"/>
    <col min="2" max="2" width="1.5703125" customWidth="1"/>
    <col min="3" max="3" width="27.5703125" bestFit="1" customWidth="1"/>
    <col min="4" max="4" width="7.42578125" customWidth="1"/>
    <col min="5" max="5" width="31" customWidth="1"/>
    <col min="6" max="6" width="1.5703125" customWidth="1"/>
    <col min="7" max="7" width="11.5703125" customWidth="1"/>
    <col min="8" max="8" width="1.42578125" customWidth="1"/>
    <col min="9" max="9" width="15.5703125" customWidth="1"/>
  </cols>
  <sheetData>
    <row r="1" spans="1:10" ht="19.5">
      <c r="A1" s="100" t="s">
        <v>0</v>
      </c>
      <c r="B1" s="100"/>
      <c r="C1" s="101"/>
      <c r="G1" s="108" t="s">
        <v>260</v>
      </c>
    </row>
    <row r="2" spans="1:10" ht="9" customHeight="1"/>
    <row r="3" spans="1:10" ht="18.75" customHeight="1"/>
    <row r="4" spans="1:10">
      <c r="A4" s="73"/>
      <c r="B4" s="70"/>
      <c r="C4" s="70"/>
      <c r="D4" s="70"/>
      <c r="E4" s="70"/>
      <c r="F4" s="70"/>
      <c r="G4" s="70"/>
      <c r="H4" s="70"/>
      <c r="I4" s="74"/>
    </row>
    <row r="5" spans="1:10">
      <c r="A5" s="1176" t="s">
        <v>261</v>
      </c>
      <c r="B5" s="1156"/>
      <c r="C5" s="1156"/>
      <c r="D5" s="1156"/>
      <c r="E5" s="1156"/>
      <c r="F5" s="1156"/>
      <c r="G5" s="1156"/>
      <c r="H5" s="1156"/>
      <c r="I5" s="1177"/>
    </row>
    <row r="6" spans="1:10">
      <c r="A6" s="1176" t="s">
        <v>262</v>
      </c>
      <c r="B6" s="1156"/>
      <c r="C6" s="1156"/>
      <c r="D6" s="1156"/>
      <c r="E6" s="1156"/>
      <c r="F6" s="1156"/>
      <c r="G6" s="1156"/>
      <c r="H6" s="1156"/>
      <c r="I6" s="1177"/>
    </row>
    <row r="7" spans="1:10">
      <c r="A7" s="1176" t="s">
        <v>263</v>
      </c>
      <c r="B7" s="1156"/>
      <c r="C7" s="1156"/>
      <c r="D7" s="1156"/>
      <c r="E7" s="1156"/>
      <c r="F7" s="1156"/>
      <c r="G7" s="1156"/>
      <c r="H7" s="1156"/>
      <c r="I7" s="1177"/>
    </row>
    <row r="8" spans="1:10">
      <c r="A8" s="1178" t="s">
        <v>264</v>
      </c>
      <c r="B8" s="1156"/>
      <c r="C8" s="1156"/>
      <c r="D8" s="1156"/>
      <c r="E8" s="1156"/>
      <c r="F8" s="1156"/>
      <c r="G8" s="1156"/>
      <c r="H8" s="1156"/>
      <c r="I8" s="1177"/>
    </row>
    <row r="9" spans="1:10" ht="17.850000000000001" customHeight="1">
      <c r="A9" s="68"/>
      <c r="B9" s="2"/>
      <c r="C9" s="2"/>
      <c r="D9" s="2"/>
      <c r="E9" s="2"/>
      <c r="F9" s="2"/>
      <c r="G9" s="2"/>
      <c r="H9" s="2"/>
      <c r="I9" s="75"/>
    </row>
    <row r="10" spans="1:10">
      <c r="A10" s="76" t="s">
        <v>265</v>
      </c>
      <c r="B10" s="87"/>
      <c r="C10" s="77"/>
      <c r="D10" s="77" t="s">
        <v>266</v>
      </c>
      <c r="E10" s="77" t="s">
        <v>267</v>
      </c>
      <c r="F10" s="77"/>
      <c r="G10" s="86"/>
      <c r="H10" s="91"/>
      <c r="I10" s="83" t="s">
        <v>268</v>
      </c>
      <c r="J10" s="333"/>
    </row>
    <row r="11" spans="1:10" ht="15.75" customHeight="1">
      <c r="A11" s="72" t="s">
        <v>269</v>
      </c>
      <c r="B11" s="88"/>
      <c r="C11" s="85" t="s">
        <v>270</v>
      </c>
      <c r="D11" s="85" t="s">
        <v>271</v>
      </c>
      <c r="E11" s="85" t="s">
        <v>272</v>
      </c>
      <c r="F11" s="85"/>
      <c r="G11" s="85" t="s">
        <v>11</v>
      </c>
      <c r="H11" s="92"/>
      <c r="I11" s="84" t="s">
        <v>273</v>
      </c>
      <c r="J11" s="333"/>
    </row>
    <row r="12" spans="1:10" ht="26.1" customHeight="1">
      <c r="A12" s="164"/>
      <c r="B12" s="165"/>
      <c r="C12" s="78"/>
      <c r="D12" s="149"/>
      <c r="E12" s="78"/>
      <c r="F12" s="80"/>
      <c r="G12" s="166"/>
      <c r="H12" s="192"/>
      <c r="I12" s="146"/>
    </row>
    <row r="13" spans="1:10" ht="26.1" customHeight="1">
      <c r="A13" s="164"/>
      <c r="B13" s="165"/>
      <c r="C13" s="78"/>
      <c r="D13" s="149"/>
      <c r="E13" s="78"/>
      <c r="F13" s="80"/>
      <c r="G13" s="166"/>
      <c r="H13" s="192"/>
      <c r="I13" s="146"/>
    </row>
    <row r="14" spans="1:10" ht="26.1" customHeight="1">
      <c r="A14" s="164"/>
      <c r="B14" s="165"/>
      <c r="C14" s="78"/>
      <c r="D14" s="149"/>
      <c r="E14" s="78"/>
      <c r="F14" s="80"/>
      <c r="G14" s="166"/>
      <c r="H14" s="193"/>
      <c r="I14" s="146"/>
    </row>
    <row r="15" spans="1:10" ht="26.1" customHeight="1">
      <c r="A15" s="164"/>
      <c r="B15" s="165"/>
      <c r="C15" s="78"/>
      <c r="D15" s="147"/>
      <c r="E15" s="78"/>
      <c r="F15" s="80"/>
      <c r="G15" s="166"/>
      <c r="H15" s="193"/>
      <c r="I15" s="146"/>
    </row>
    <row r="16" spans="1:10" ht="26.1" customHeight="1">
      <c r="A16" s="164"/>
      <c r="B16" s="165"/>
      <c r="C16" s="78"/>
      <c r="D16" s="149"/>
      <c r="E16" s="78"/>
      <c r="F16" s="80"/>
      <c r="G16" s="166"/>
      <c r="H16" s="192"/>
      <c r="I16" s="146"/>
    </row>
    <row r="17" spans="1:9" ht="26.1" customHeight="1">
      <c r="A17" s="164"/>
      <c r="B17" s="165"/>
      <c r="C17" s="78"/>
      <c r="D17" s="149"/>
      <c r="E17" s="78"/>
      <c r="F17" s="80"/>
      <c r="G17" s="166"/>
      <c r="H17" s="192"/>
      <c r="I17" s="146"/>
    </row>
    <row r="18" spans="1:9" ht="26.1" customHeight="1">
      <c r="A18" s="164"/>
      <c r="B18" s="165"/>
      <c r="C18" s="78"/>
      <c r="D18" s="147"/>
      <c r="E18" s="78"/>
      <c r="F18" s="80"/>
      <c r="G18" s="166"/>
      <c r="H18" s="193"/>
      <c r="I18" s="146"/>
    </row>
    <row r="19" spans="1:9" ht="26.1" customHeight="1">
      <c r="A19" s="164"/>
      <c r="B19" s="165"/>
      <c r="C19" s="78"/>
      <c r="D19" s="149"/>
      <c r="E19" s="78"/>
      <c r="F19" s="190"/>
      <c r="G19" s="191"/>
      <c r="H19" s="192"/>
      <c r="I19" s="146"/>
    </row>
    <row r="20" spans="1:9" ht="26.1" customHeight="1">
      <c r="A20" s="164"/>
      <c r="B20" s="165"/>
      <c r="C20" s="78"/>
      <c r="D20" s="149"/>
      <c r="E20" s="78"/>
      <c r="F20" s="80"/>
      <c r="G20" s="166"/>
      <c r="H20" s="93"/>
      <c r="I20" s="146"/>
    </row>
    <row r="21" spans="1:9" ht="26.1" customHeight="1">
      <c r="A21" s="177"/>
      <c r="B21" s="89"/>
      <c r="C21" s="78"/>
      <c r="D21" s="149"/>
      <c r="E21" s="78"/>
      <c r="F21" s="80"/>
      <c r="G21" s="178"/>
      <c r="H21" s="93"/>
      <c r="I21" s="146"/>
    </row>
    <row r="22" spans="1:9" ht="26.1" customHeight="1">
      <c r="A22" s="177"/>
      <c r="B22" s="89"/>
      <c r="C22" s="78"/>
      <c r="D22" s="149"/>
      <c r="E22" s="78"/>
      <c r="F22" s="80"/>
      <c r="G22" s="178"/>
      <c r="H22" s="93"/>
      <c r="I22" s="146"/>
    </row>
    <row r="23" spans="1:9" ht="26.1" customHeight="1">
      <c r="A23" s="177"/>
      <c r="B23" s="89"/>
      <c r="C23" s="78"/>
      <c r="D23" s="149"/>
      <c r="E23" s="78"/>
      <c r="F23" s="80"/>
      <c r="G23" s="178"/>
      <c r="H23" s="93"/>
      <c r="I23" s="179"/>
    </row>
    <row r="24" spans="1:9" ht="26.1" customHeight="1">
      <c r="A24" s="79"/>
      <c r="B24" s="89"/>
      <c r="C24" s="149"/>
      <c r="D24" s="149"/>
      <c r="E24" s="149"/>
      <c r="F24" s="80"/>
      <c r="G24" s="173"/>
      <c r="H24" s="93"/>
      <c r="I24" s="174"/>
    </row>
    <row r="25" spans="1:9" ht="26.1" customHeight="1">
      <c r="A25" s="79"/>
      <c r="B25" s="89"/>
      <c r="C25" s="149"/>
      <c r="D25" s="149"/>
      <c r="E25" s="149"/>
      <c r="F25" s="80"/>
      <c r="G25" s="173"/>
      <c r="H25" s="93"/>
      <c r="I25" s="174"/>
    </row>
    <row r="26" spans="1:9" ht="26.1" customHeight="1">
      <c r="A26" s="79"/>
      <c r="B26" s="89"/>
      <c r="C26" s="149"/>
      <c r="D26" s="149"/>
      <c r="E26" s="149"/>
      <c r="F26" s="80"/>
      <c r="G26" s="173"/>
      <c r="H26" s="93"/>
      <c r="I26" s="174"/>
    </row>
    <row r="27" spans="1:9" ht="26.1" customHeight="1">
      <c r="A27" s="81"/>
      <c r="B27" s="90"/>
      <c r="C27" s="171"/>
      <c r="D27" s="171"/>
      <c r="E27" s="171"/>
      <c r="F27" s="82"/>
      <c r="G27" s="175"/>
      <c r="H27" s="94"/>
      <c r="I27" s="176"/>
    </row>
    <row r="28" spans="1:9" ht="9.75" customHeight="1">
      <c r="A28" s="70"/>
      <c r="B28" s="70"/>
      <c r="C28" s="172"/>
      <c r="D28" s="172"/>
      <c r="E28" s="172"/>
      <c r="F28" s="70"/>
      <c r="G28" s="70"/>
      <c r="H28" s="70"/>
      <c r="I28" s="70"/>
    </row>
    <row r="29" spans="1:9" ht="9.75" customHeight="1">
      <c r="C29" s="5"/>
      <c r="D29" s="5"/>
      <c r="E29" s="5"/>
    </row>
    <row r="30" spans="1:9">
      <c r="A30" t="s">
        <v>274</v>
      </c>
    </row>
    <row r="32" spans="1:9">
      <c r="A32" s="104"/>
      <c r="B32" s="99"/>
      <c r="C32" s="2"/>
      <c r="D32" s="2"/>
      <c r="E32" s="2"/>
      <c r="F32" s="2"/>
      <c r="G32" s="2"/>
      <c r="H32" s="2"/>
      <c r="I32" s="105"/>
    </row>
    <row r="33" spans="1:5">
      <c r="A33" s="97">
        <v>39</v>
      </c>
      <c r="E33" s="97" t="s">
        <v>275</v>
      </c>
    </row>
    <row r="34" spans="1:5" ht="15" customHeight="1">
      <c r="C34" t="s">
        <v>276</v>
      </c>
    </row>
    <row r="55" ht="18" customHeight="1"/>
  </sheetData>
  <mergeCells count="4">
    <mergeCell ref="A5:I5"/>
    <mergeCell ref="A6:I6"/>
    <mergeCell ref="A7:I7"/>
    <mergeCell ref="A8:I8"/>
  </mergeCells>
  <phoneticPr fontId="23" type="noConversion"/>
  <printOptions horizontalCentered="1"/>
  <pageMargins left="0.73" right="0.32" top="0.6" bottom="0.5" header="0.5" footer="0.5"/>
  <pageSetup scale="89" orientation="portrait" horizontalDpi="4294967292" verticalDpi="4294967292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3"/>
  <dimension ref="A1:N54"/>
  <sheetViews>
    <sheetView topLeftCell="A19" zoomScaleNormal="100" workbookViewId="0">
      <selection activeCell="H45" sqref="H45"/>
    </sheetView>
  </sheetViews>
  <sheetFormatPr defaultRowHeight="12.75"/>
  <cols>
    <col min="1" max="1" width="5.5703125" customWidth="1"/>
    <col min="2" max="2" width="2.42578125" customWidth="1"/>
    <col min="3" max="3" width="12.42578125" customWidth="1"/>
    <col min="4" max="4" width="13.42578125" customWidth="1"/>
  </cols>
  <sheetData>
    <row r="1" spans="1:11" ht="19.5">
      <c r="A1" s="100" t="s">
        <v>0</v>
      </c>
      <c r="B1" s="100"/>
      <c r="C1" s="100"/>
      <c r="D1" s="101"/>
      <c r="E1" s="5"/>
      <c r="G1" s="5"/>
      <c r="K1" s="100" t="s">
        <v>277</v>
      </c>
    </row>
    <row r="2" spans="1:11" ht="9" customHeight="1"/>
    <row r="5" spans="1:11">
      <c r="A5" s="1" t="s">
        <v>278</v>
      </c>
      <c r="B5" s="1"/>
    </row>
    <row r="6" spans="1:11">
      <c r="A6" s="184" t="s">
        <v>279</v>
      </c>
    </row>
    <row r="8" spans="1:11">
      <c r="A8" s="2"/>
      <c r="C8" s="333" t="s">
        <v>280</v>
      </c>
    </row>
    <row r="9" spans="1:11" ht="7.5" customHeight="1">
      <c r="C9" s="333"/>
    </row>
    <row r="10" spans="1:11">
      <c r="A10" s="2"/>
      <c r="C10" s="333" t="s">
        <v>281</v>
      </c>
    </row>
    <row r="11" spans="1:11" ht="7.5" customHeight="1">
      <c r="C11" s="333"/>
    </row>
    <row r="12" spans="1:11">
      <c r="A12" s="2"/>
      <c r="C12" s="333" t="s">
        <v>282</v>
      </c>
    </row>
    <row r="13" spans="1:11" ht="7.5" customHeight="1">
      <c r="C13" s="333"/>
    </row>
    <row r="14" spans="1:11">
      <c r="A14" s="2"/>
      <c r="C14" s="333" t="s">
        <v>283</v>
      </c>
    </row>
    <row r="15" spans="1:11" ht="7.5" customHeight="1">
      <c r="C15" s="333"/>
    </row>
    <row r="16" spans="1:11">
      <c r="A16" s="2"/>
      <c r="C16" s="333" t="s">
        <v>284</v>
      </c>
    </row>
    <row r="17" spans="1:3" ht="7.5" customHeight="1">
      <c r="C17" s="333"/>
    </row>
    <row r="18" spans="1:3">
      <c r="A18" s="2"/>
      <c r="C18" s="333" t="s">
        <v>285</v>
      </c>
    </row>
    <row r="19" spans="1:3" ht="7.5" customHeight="1">
      <c r="C19" s="333"/>
    </row>
    <row r="20" spans="1:3">
      <c r="A20" s="2"/>
      <c r="C20" s="333" t="s">
        <v>286</v>
      </c>
    </row>
    <row r="21" spans="1:3" ht="7.5" customHeight="1">
      <c r="C21" s="333"/>
    </row>
    <row r="22" spans="1:3">
      <c r="A22" s="2"/>
      <c r="C22" s="333" t="s">
        <v>287</v>
      </c>
    </row>
    <row r="23" spans="1:3" ht="7.5" customHeight="1">
      <c r="C23" s="333"/>
    </row>
    <row r="24" spans="1:3">
      <c r="A24" s="2"/>
      <c r="C24" s="333" t="s">
        <v>288</v>
      </c>
    </row>
    <row r="25" spans="1:3" ht="7.5" customHeight="1">
      <c r="C25" s="333"/>
    </row>
    <row r="26" spans="1:3">
      <c r="A26" s="2"/>
      <c r="C26" s="333" t="s">
        <v>289</v>
      </c>
    </row>
    <row r="27" spans="1:3" ht="7.5" customHeight="1">
      <c r="C27" s="333"/>
    </row>
    <row r="28" spans="1:3">
      <c r="A28" s="2"/>
      <c r="C28" s="333" t="s">
        <v>290</v>
      </c>
    </row>
    <row r="29" spans="1:3" ht="7.5" customHeight="1">
      <c r="C29" s="333"/>
    </row>
    <row r="30" spans="1:3">
      <c r="A30" s="2"/>
      <c r="C30" s="333" t="s">
        <v>291</v>
      </c>
    </row>
    <row r="31" spans="1:3" ht="7.5" customHeight="1">
      <c r="C31" s="333"/>
    </row>
    <row r="32" spans="1:3">
      <c r="A32" s="2"/>
      <c r="C32" s="333" t="s">
        <v>292</v>
      </c>
    </row>
    <row r="33" spans="1:3" ht="7.5" customHeight="1">
      <c r="C33" s="333"/>
    </row>
    <row r="34" spans="1:3">
      <c r="A34" s="2"/>
      <c r="C34" s="333" t="s">
        <v>293</v>
      </c>
    </row>
    <row r="35" spans="1:3" ht="7.5" customHeight="1">
      <c r="C35" s="333"/>
    </row>
    <row r="36" spans="1:3">
      <c r="A36" s="2"/>
      <c r="C36" s="333" t="s">
        <v>294</v>
      </c>
    </row>
    <row r="37" spans="1:3" ht="7.5" customHeight="1">
      <c r="C37" s="333"/>
    </row>
    <row r="38" spans="1:3">
      <c r="A38" s="2"/>
      <c r="C38" s="333" t="s">
        <v>295</v>
      </c>
    </row>
    <row r="39" spans="1:3" ht="7.5" customHeight="1">
      <c r="C39" s="333"/>
    </row>
    <row r="40" spans="1:3">
      <c r="A40" s="2"/>
      <c r="C40" s="333" t="s">
        <v>296</v>
      </c>
    </row>
    <row r="41" spans="1:3" ht="7.5" customHeight="1">
      <c r="C41" s="333"/>
    </row>
    <row r="42" spans="1:3">
      <c r="A42" s="2"/>
      <c r="C42" s="333" t="s">
        <v>297</v>
      </c>
    </row>
    <row r="43" spans="1:3" ht="7.5" customHeight="1">
      <c r="C43" s="333"/>
    </row>
    <row r="44" spans="1:3">
      <c r="A44" s="2"/>
      <c r="C44" s="333" t="s">
        <v>298</v>
      </c>
    </row>
    <row r="45" spans="1:3" ht="7.5" customHeight="1">
      <c r="C45" s="333"/>
    </row>
    <row r="46" spans="1:3">
      <c r="A46" s="2"/>
      <c r="C46" s="333" t="s">
        <v>299</v>
      </c>
    </row>
    <row r="47" spans="1:3" ht="7.5" customHeight="1">
      <c r="C47" s="333"/>
    </row>
    <row r="48" spans="1:3">
      <c r="A48" s="2"/>
      <c r="C48" s="333" t="s">
        <v>300</v>
      </c>
    </row>
    <row r="49" spans="1:14">
      <c r="C49" s="333"/>
    </row>
    <row r="50" spans="1:14">
      <c r="C50" s="333"/>
    </row>
    <row r="51" spans="1:14">
      <c r="C51" s="1" t="s">
        <v>301</v>
      </c>
    </row>
    <row r="52" spans="1:14">
      <c r="C52" t="s">
        <v>22</v>
      </c>
    </row>
    <row r="53" spans="1:14">
      <c r="A53" s="2"/>
      <c r="B53" s="2"/>
      <c r="C53" s="2"/>
      <c r="D53" s="106"/>
      <c r="E53" s="106"/>
      <c r="F53" s="106"/>
      <c r="G53" s="2"/>
      <c r="H53" s="2"/>
      <c r="I53" s="2"/>
      <c r="J53" s="2"/>
      <c r="K53" s="2"/>
      <c r="L53" s="2"/>
      <c r="M53" s="2"/>
      <c r="N53" s="2"/>
    </row>
    <row r="54" spans="1:14">
      <c r="D54" s="5"/>
      <c r="F54" s="5"/>
      <c r="L54" s="97" t="s">
        <v>63</v>
      </c>
    </row>
  </sheetData>
  <phoneticPr fontId="23" type="noConversion"/>
  <pageMargins left="0.5" right="0.5" top="0.25" bottom="0.25" header="0.5" footer="0.25"/>
  <pageSetup scale="95" orientation="landscape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4"/>
  <dimension ref="A1:K31"/>
  <sheetViews>
    <sheetView workbookViewId="0">
      <selection activeCell="E12" sqref="E12"/>
    </sheetView>
  </sheetViews>
  <sheetFormatPr defaultColWidth="9.42578125" defaultRowHeight="12.75"/>
  <cols>
    <col min="1" max="1" width="12.5703125" style="402" customWidth="1"/>
    <col min="2" max="2" width="2.5703125" style="402" customWidth="1"/>
    <col min="3" max="3" width="41" style="402" customWidth="1"/>
    <col min="4" max="4" width="2.5703125" style="402" customWidth="1"/>
    <col min="5" max="5" width="16.5703125" style="402" customWidth="1"/>
    <col min="6" max="6" width="19.5703125" style="402" customWidth="1"/>
    <col min="7" max="7" width="9.42578125" style="402"/>
    <col min="8" max="8" width="13.42578125" style="402" customWidth="1"/>
    <col min="9" max="16384" width="9.42578125" style="402"/>
  </cols>
  <sheetData>
    <row r="1" spans="1:11" s="379" customFormat="1" ht="18">
      <c r="A1" s="1179" t="str">
        <f>'Review Comments'!B9</f>
        <v>COCONUT GROVE RETAIL XIII, LLC</v>
      </c>
      <c r="B1" s="1180"/>
      <c r="C1" s="1180"/>
      <c r="D1" s="1180"/>
      <c r="E1" s="1180"/>
      <c r="F1" s="1181"/>
    </row>
    <row r="2" spans="1:11" s="379" customFormat="1" ht="18">
      <c r="A2" s="1182" t="s">
        <v>302</v>
      </c>
      <c r="B2" s="1183"/>
      <c r="C2" s="1183"/>
      <c r="D2" s="1183"/>
      <c r="E2" s="1183"/>
      <c r="F2" s="1184"/>
    </row>
    <row r="3" spans="1:11" s="379" customFormat="1" ht="18.75" thickBot="1">
      <c r="A3" s="1185" t="str">
        <f>'Review Comments'!B11</f>
        <v>FOR THE MONTH 07/31/2026</v>
      </c>
      <c r="B3" s="1186"/>
      <c r="C3" s="1186"/>
      <c r="D3" s="1186"/>
      <c r="E3" s="1186"/>
      <c r="F3" s="1187"/>
    </row>
    <row r="4" spans="1:11" s="379" customFormat="1"/>
    <row r="5" spans="1:11" s="379" customFormat="1"/>
    <row r="6" spans="1:11" s="379" customFormat="1"/>
    <row r="7" spans="1:11" s="379" customFormat="1" ht="13.5" thickBot="1"/>
    <row r="8" spans="1:11" s="379" customFormat="1">
      <c r="A8" s="380"/>
      <c r="B8" s="381"/>
      <c r="C8" s="381"/>
      <c r="D8" s="381"/>
      <c r="E8" s="381"/>
      <c r="F8" s="382"/>
    </row>
    <row r="9" spans="1:11" s="379" customFormat="1" ht="26.25" thickBot="1">
      <c r="A9" s="383" t="s">
        <v>303</v>
      </c>
      <c r="B9" s="384"/>
      <c r="C9" s="384" t="s">
        <v>10</v>
      </c>
      <c r="D9" s="384"/>
      <c r="E9" s="384" t="s">
        <v>11</v>
      </c>
      <c r="F9" s="385" t="s">
        <v>105</v>
      </c>
      <c r="G9" s="386"/>
      <c r="H9" s="386"/>
      <c r="I9" s="386"/>
      <c r="J9" s="386"/>
      <c r="K9" s="386"/>
    </row>
    <row r="10" spans="1:11" s="379" customFormat="1">
      <c r="A10" s="387"/>
      <c r="F10" s="388"/>
    </row>
    <row r="11" spans="1:11" s="379" customFormat="1">
      <c r="A11" s="475">
        <v>42978</v>
      </c>
      <c r="B11" s="421"/>
      <c r="C11" s="400" t="s">
        <v>304</v>
      </c>
      <c r="D11" s="390"/>
      <c r="E11" s="395">
        <v>17605.669999999998</v>
      </c>
      <c r="F11" s="445">
        <f>E11</f>
        <v>17605.669999999998</v>
      </c>
    </row>
    <row r="12" spans="1:11" s="379" customFormat="1">
      <c r="A12" s="607">
        <v>43038</v>
      </c>
      <c r="B12" s="390"/>
      <c r="C12" s="608" t="s">
        <v>305</v>
      </c>
      <c r="D12" s="390"/>
      <c r="E12" s="491">
        <v>8802.83</v>
      </c>
      <c r="F12" s="445">
        <f>F11+E12</f>
        <v>26408.5</v>
      </c>
      <c r="G12" s="400"/>
    </row>
    <row r="13" spans="1:11" s="379" customFormat="1">
      <c r="A13" s="389"/>
      <c r="B13" s="390"/>
      <c r="C13" s="391"/>
      <c r="D13" s="390"/>
      <c r="E13" s="392"/>
      <c r="F13" s="583"/>
    </row>
    <row r="14" spans="1:11" s="379" customFormat="1">
      <c r="A14" s="389"/>
      <c r="B14" s="390"/>
      <c r="C14" s="391"/>
      <c r="D14" s="390"/>
      <c r="E14" s="392"/>
      <c r="F14" s="583"/>
    </row>
    <row r="15" spans="1:11" s="379" customFormat="1">
      <c r="A15" s="389"/>
      <c r="B15" s="390"/>
      <c r="C15" s="391"/>
      <c r="D15" s="390"/>
      <c r="E15" s="392"/>
      <c r="F15" s="583"/>
    </row>
    <row r="16" spans="1:11" s="379" customFormat="1">
      <c r="A16" s="394"/>
      <c r="B16" s="390"/>
      <c r="C16" s="390"/>
      <c r="D16" s="390"/>
      <c r="E16" s="395"/>
      <c r="F16" s="393"/>
    </row>
    <row r="17" spans="1:6" s="400" customFormat="1" ht="13.5" thickBot="1">
      <c r="A17" s="396"/>
      <c r="B17" s="397"/>
      <c r="C17" s="397" t="s">
        <v>306</v>
      </c>
      <c r="D17" s="397"/>
      <c r="E17" s="398"/>
      <c r="F17" s="582">
        <f>F12</f>
        <v>26408.5</v>
      </c>
    </row>
    <row r="18" spans="1:6" s="379" customFormat="1">
      <c r="A18" s="390"/>
      <c r="B18" s="390"/>
      <c r="C18" s="390"/>
      <c r="D18" s="390"/>
      <c r="E18" s="395"/>
      <c r="F18" s="390"/>
    </row>
    <row r="19" spans="1:6" s="379" customFormat="1">
      <c r="B19" s="401"/>
      <c r="C19" s="391"/>
    </row>
    <row r="20" spans="1:6" s="379" customFormat="1">
      <c r="C20" s="391"/>
    </row>
    <row r="21" spans="1:6" s="379" customFormat="1"/>
    <row r="22" spans="1:6">
      <c r="B22" s="403"/>
      <c r="C22" s="379"/>
    </row>
    <row r="23" spans="1:6">
      <c r="C23" s="379"/>
    </row>
    <row r="24" spans="1:6">
      <c r="C24" s="379"/>
    </row>
    <row r="25" spans="1:6">
      <c r="C25" s="379"/>
    </row>
    <row r="26" spans="1:6">
      <c r="C26" s="379"/>
    </row>
    <row r="27" spans="1:6">
      <c r="C27" s="379"/>
    </row>
    <row r="28" spans="1:6">
      <c r="C28" s="379"/>
    </row>
    <row r="29" spans="1:6">
      <c r="C29" s="379"/>
    </row>
    <row r="30" spans="1:6">
      <c r="C30" s="379"/>
    </row>
    <row r="31" spans="1:6">
      <c r="C31" s="379"/>
    </row>
  </sheetData>
  <mergeCells count="3">
    <mergeCell ref="A1:F1"/>
    <mergeCell ref="A2:F2"/>
    <mergeCell ref="A3:F3"/>
  </mergeCells>
  <pageMargins left="0.7" right="0.7" top="0.75" bottom="0.75" header="0.3" footer="0.3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2">
    <pageSetUpPr fitToPage="1"/>
  </sheetPr>
  <dimension ref="A2:H41"/>
  <sheetViews>
    <sheetView zoomScaleNormal="100" workbookViewId="0"/>
  </sheetViews>
  <sheetFormatPr defaultRowHeight="12.75"/>
  <cols>
    <col min="1" max="1" width="9.5703125" customWidth="1"/>
    <col min="2" max="2" width="107.5703125" customWidth="1"/>
    <col min="3" max="3" width="1.5703125" customWidth="1"/>
    <col min="5" max="5" width="9" bestFit="1" customWidth="1"/>
    <col min="6" max="6" width="10.42578125" bestFit="1" customWidth="1"/>
    <col min="7" max="7" width="16.5703125" customWidth="1"/>
  </cols>
  <sheetData>
    <row r="2" spans="1:8" ht="15">
      <c r="B2" s="102" t="s">
        <v>307</v>
      </c>
    </row>
    <row r="3" spans="1:8" ht="15">
      <c r="B3" s="102" t="s">
        <v>308</v>
      </c>
      <c r="G3" s="333"/>
      <c r="H3" s="333"/>
    </row>
    <row r="4" spans="1:8">
      <c r="G4" s="333"/>
      <c r="H4" s="333"/>
    </row>
    <row r="5" spans="1:8">
      <c r="F5" s="1"/>
      <c r="H5" s="333"/>
    </row>
    <row r="6" spans="1:8">
      <c r="F6" s="1"/>
    </row>
    <row r="8" spans="1:8" ht="15">
      <c r="C8" s="102"/>
    </row>
    <row r="9" spans="1:8" ht="15">
      <c r="A9" s="1" t="s">
        <v>309</v>
      </c>
      <c r="B9" s="1" t="s">
        <v>310</v>
      </c>
      <c r="C9" s="102"/>
    </row>
    <row r="10" spans="1:8" ht="15">
      <c r="C10" s="313"/>
    </row>
    <row r="11" spans="1:8">
      <c r="A11" s="1" t="s">
        <v>311</v>
      </c>
      <c r="B11" s="413" t="s">
        <v>1529</v>
      </c>
      <c r="C11" s="1"/>
    </row>
    <row r="13" spans="1:8">
      <c r="A13" s="1" t="s">
        <v>1184</v>
      </c>
      <c r="B13" s="413" t="s">
        <v>1185</v>
      </c>
      <c r="C13" s="413"/>
    </row>
    <row r="14" spans="1:8">
      <c r="A14" s="1"/>
    </row>
    <row r="15" spans="1:8" ht="13.5" thickBot="1">
      <c r="G15" s="292"/>
    </row>
    <row r="16" spans="1:8" ht="17.25" thickTop="1" thickBot="1">
      <c r="A16" s="706" t="s">
        <v>312</v>
      </c>
      <c r="B16" s="745"/>
      <c r="C16" s="717"/>
    </row>
    <row r="17" spans="1:3" ht="16.5" thickTop="1">
      <c r="A17" s="706"/>
      <c r="B17" s="761"/>
      <c r="C17" s="717"/>
    </row>
    <row r="18" spans="1:3" ht="13.5" thickBot="1"/>
    <row r="19" spans="1:3" ht="14.25" thickTop="1" thickBot="1">
      <c r="A19" s="314" t="s">
        <v>313</v>
      </c>
      <c r="B19" s="745"/>
      <c r="C19" s="718"/>
    </row>
    <row r="20" spans="1:3" ht="13.5" thickTop="1"/>
    <row r="21" spans="1:3" ht="13.5" thickBot="1">
      <c r="B21" s="315"/>
      <c r="C21" s="315"/>
    </row>
    <row r="22" spans="1:3" ht="14.25" thickTop="1" thickBot="1">
      <c r="A22" s="706" t="s">
        <v>314</v>
      </c>
      <c r="B22" s="334"/>
      <c r="C22" s="719"/>
    </row>
    <row r="23" spans="1:3" ht="13.5" thickTop="1">
      <c r="B23" s="671"/>
      <c r="C23" s="671"/>
    </row>
    <row r="24" spans="1:3" ht="13.5" thickBot="1"/>
    <row r="25" spans="1:3" ht="17.25" thickTop="1" thickBot="1">
      <c r="A25" s="314" t="s">
        <v>315</v>
      </c>
      <c r="B25" s="708"/>
      <c r="C25" s="717"/>
    </row>
    <row r="26" spans="1:3" ht="13.5" thickTop="1"/>
    <row r="27" spans="1:3" ht="13.5" thickBot="1"/>
    <row r="28" spans="1:3" ht="14.25" thickTop="1" thickBot="1">
      <c r="A28" s="314" t="s">
        <v>316</v>
      </c>
      <c r="B28" s="334"/>
      <c r="C28" s="719"/>
    </row>
    <row r="29" spans="1:3" ht="13.5" thickTop="1"/>
    <row r="30" spans="1:3" ht="13.5" thickBot="1"/>
    <row r="31" spans="1:3" ht="14.25" thickTop="1" thickBot="1">
      <c r="A31" s="314" t="s">
        <v>317</v>
      </c>
      <c r="B31" s="334"/>
      <c r="C31" s="701"/>
    </row>
    <row r="32" spans="1:3" ht="13.5" thickTop="1"/>
    <row r="33" spans="1:3" ht="13.5" thickBot="1"/>
    <row r="34" spans="1:3" ht="14.25" thickTop="1" thickBot="1">
      <c r="A34" s="314" t="s">
        <v>318</v>
      </c>
      <c r="B34" s="316"/>
      <c r="C34" s="720"/>
    </row>
    <row r="35" spans="1:3" ht="13.5" thickTop="1"/>
    <row r="36" spans="1:3" ht="13.5" thickBot="1"/>
    <row r="37" spans="1:3" ht="14.25" thickTop="1" thickBot="1">
      <c r="A37" s="314" t="s">
        <v>319</v>
      </c>
      <c r="B37" s="316"/>
      <c r="C37" s="720"/>
    </row>
    <row r="38" spans="1:3" ht="13.5" thickTop="1"/>
    <row r="39" spans="1:3" ht="13.5" thickBot="1"/>
    <row r="40" spans="1:3" ht="14.25" thickTop="1" thickBot="1">
      <c r="A40" s="314" t="s">
        <v>320</v>
      </c>
      <c r="B40" s="316"/>
      <c r="C40" s="720"/>
    </row>
    <row r="41" spans="1:3" ht="13.5" thickTop="1"/>
  </sheetData>
  <pageMargins left="0.7" right="0.7" top="0.75" bottom="0.75" header="0.3" footer="0.3"/>
  <pageSetup scale="91"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8F40D-F21A-417B-89F6-C80036CF5B54}">
  <sheetPr codeName="Sheet72"/>
  <dimension ref="A1:G112"/>
  <sheetViews>
    <sheetView workbookViewId="0"/>
  </sheetViews>
  <sheetFormatPr defaultColWidth="8.5703125" defaultRowHeight="15"/>
  <cols>
    <col min="1" max="1" width="13.7109375" bestFit="1" customWidth="1"/>
    <col min="2" max="2" width="25.7109375" customWidth="1"/>
    <col min="3" max="3" width="11.7109375" customWidth="1"/>
    <col min="4" max="4" width="1.7109375" customWidth="1"/>
    <col min="5" max="5" width="12.7109375" customWidth="1"/>
    <col min="6" max="6" width="7.7109375" customWidth="1"/>
    <col min="7" max="7" width="15" style="932" bestFit="1" customWidth="1"/>
    <col min="8" max="16384" width="8.5703125" style="801"/>
  </cols>
  <sheetData>
    <row r="1" spans="1:7">
      <c r="A1" s="1150" t="s">
        <v>1050</v>
      </c>
      <c r="B1" s="1150" t="s">
        <v>1346</v>
      </c>
      <c r="C1" s="1149"/>
      <c r="D1" s="1149"/>
      <c r="E1" s="1150" t="s">
        <v>1347</v>
      </c>
      <c r="F1" s="1150" t="s">
        <v>1348</v>
      </c>
    </row>
    <row r="2" spans="1:7">
      <c r="A2" s="1150" t="s">
        <v>1051</v>
      </c>
      <c r="B2" s="1151" t="s">
        <v>1052</v>
      </c>
      <c r="C2" s="1149"/>
      <c r="D2" s="1149"/>
      <c r="E2" s="1150" t="s">
        <v>35</v>
      </c>
      <c r="F2" s="1152">
        <v>46239.700057870403</v>
      </c>
    </row>
    <row r="3" spans="1:7">
      <c r="A3" s="1150" t="s">
        <v>22</v>
      </c>
      <c r="B3" s="1151" t="s">
        <v>310</v>
      </c>
      <c r="C3" s="1149"/>
      <c r="D3" s="1149"/>
      <c r="E3" s="1150" t="s">
        <v>1349</v>
      </c>
      <c r="F3" s="1153">
        <v>46239.700057870403</v>
      </c>
    </row>
    <row r="4" spans="1:7">
      <c r="A4" s="1150" t="s">
        <v>22</v>
      </c>
      <c r="B4" s="1149"/>
      <c r="C4" s="1149"/>
      <c r="D4" s="1149"/>
      <c r="E4" s="1149"/>
      <c r="F4" s="1149"/>
    </row>
    <row r="6" spans="1:7">
      <c r="A6" s="1150" t="s">
        <v>1350</v>
      </c>
      <c r="B6" s="1150" t="s">
        <v>1530</v>
      </c>
      <c r="C6" s="1149"/>
      <c r="D6" s="1149"/>
      <c r="E6" s="1149"/>
      <c r="F6" s="1149"/>
    </row>
    <row r="7" spans="1:7">
      <c r="A7" s="1149"/>
      <c r="B7" s="1150" t="s">
        <v>1053</v>
      </c>
      <c r="C7" s="1149"/>
      <c r="D7" s="1149"/>
      <c r="E7" s="1149"/>
      <c r="F7" s="1149"/>
    </row>
    <row r="9" spans="1:7">
      <c r="A9" s="1150" t="s">
        <v>1351</v>
      </c>
      <c r="B9" s="1150" t="s">
        <v>10</v>
      </c>
      <c r="C9" s="1150" t="s">
        <v>1352</v>
      </c>
      <c r="D9" s="1149"/>
      <c r="E9" s="1150" t="s">
        <v>1353</v>
      </c>
      <c r="F9" s="1149"/>
    </row>
    <row r="12" spans="1:7">
      <c r="A12" s="1150" t="s">
        <v>1354</v>
      </c>
      <c r="B12" s="1149"/>
      <c r="C12" s="1149"/>
      <c r="D12" s="1149"/>
      <c r="E12" s="1149"/>
      <c r="F12" s="1149"/>
    </row>
    <row r="14" spans="1:7">
      <c r="A14" s="1150" t="s">
        <v>1355</v>
      </c>
      <c r="B14" s="1150" t="s">
        <v>1356</v>
      </c>
      <c r="C14" s="1154">
        <v>228492.74</v>
      </c>
      <c r="D14" s="1149"/>
      <c r="E14" s="1149"/>
      <c r="F14" s="1149"/>
      <c r="G14" s="929">
        <f t="shared" ref="G14:G78" si="0">C14-E14</f>
        <v>228492.74</v>
      </c>
    </row>
    <row r="15" spans="1:7">
      <c r="A15" s="1150" t="s">
        <v>1226</v>
      </c>
      <c r="B15" s="1150" t="s">
        <v>1357</v>
      </c>
      <c r="C15" s="1154">
        <v>122046.05</v>
      </c>
      <c r="D15" s="1149"/>
      <c r="E15" s="1149"/>
      <c r="F15" s="1149"/>
      <c r="G15" s="929">
        <f t="shared" si="0"/>
        <v>122046.05</v>
      </c>
    </row>
    <row r="16" spans="1:7">
      <c r="A16" s="1150" t="s">
        <v>1217</v>
      </c>
      <c r="B16" s="1150" t="s">
        <v>1218</v>
      </c>
      <c r="C16" s="1154">
        <v>160000</v>
      </c>
      <c r="D16" s="1149"/>
      <c r="E16" s="1149"/>
      <c r="F16" s="1149"/>
      <c r="G16" s="929">
        <f t="shared" si="0"/>
        <v>160000</v>
      </c>
    </row>
    <row r="17" spans="1:7">
      <c r="A17" s="1150" t="s">
        <v>1054</v>
      </c>
      <c r="B17" s="1150" t="s">
        <v>1055</v>
      </c>
      <c r="C17" s="1149"/>
      <c r="D17" s="1149"/>
      <c r="E17" s="1154">
        <v>7086.08</v>
      </c>
      <c r="G17" s="929">
        <f t="shared" si="0"/>
        <v>-7086.08</v>
      </c>
    </row>
    <row r="18" spans="1:7">
      <c r="A18" s="1150" t="s">
        <v>701</v>
      </c>
      <c r="B18" s="1150" t="s">
        <v>1358</v>
      </c>
      <c r="C18" s="1154">
        <v>150</v>
      </c>
      <c r="D18" s="1149"/>
      <c r="E18" s="1149"/>
      <c r="G18" s="929">
        <f t="shared" si="0"/>
        <v>150</v>
      </c>
    </row>
    <row r="19" spans="1:7">
      <c r="A19" s="1150" t="s">
        <v>547</v>
      </c>
      <c r="B19" s="1150" t="s">
        <v>1057</v>
      </c>
      <c r="C19" s="1154">
        <v>4369592.2</v>
      </c>
      <c r="D19" s="1149"/>
      <c r="E19" s="1149"/>
      <c r="G19" s="929">
        <f t="shared" si="0"/>
        <v>4369592.2</v>
      </c>
    </row>
    <row r="20" spans="1:7">
      <c r="A20" s="1150" t="s">
        <v>551</v>
      </c>
      <c r="B20" s="1150" t="s">
        <v>1058</v>
      </c>
      <c r="C20" s="1154">
        <v>17478368.800000001</v>
      </c>
      <c r="D20" s="1149"/>
      <c r="E20" s="1149"/>
      <c r="G20" s="929">
        <f t="shared" si="0"/>
        <v>17478368.800000001</v>
      </c>
    </row>
    <row r="21" spans="1:7">
      <c r="A21" s="1150" t="s">
        <v>640</v>
      </c>
      <c r="B21" s="1150" t="s">
        <v>1059</v>
      </c>
      <c r="C21" s="1154">
        <v>2052989.65</v>
      </c>
      <c r="D21" s="1149"/>
      <c r="E21" s="1149"/>
      <c r="G21" s="929">
        <f t="shared" si="0"/>
        <v>2052989.65</v>
      </c>
    </row>
    <row r="22" spans="1:7">
      <c r="A22" s="1150" t="s">
        <v>652</v>
      </c>
      <c r="B22" s="1150" t="s">
        <v>1060</v>
      </c>
      <c r="C22" s="1154">
        <v>237334.8</v>
      </c>
      <c r="D22" s="1149"/>
      <c r="E22" s="1149"/>
      <c r="G22" s="929">
        <f t="shared" si="0"/>
        <v>237334.8</v>
      </c>
    </row>
    <row r="23" spans="1:7">
      <c r="A23" s="1150" t="s">
        <v>1359</v>
      </c>
      <c r="B23" s="1150" t="s">
        <v>1360</v>
      </c>
      <c r="C23" s="1154">
        <v>11648</v>
      </c>
      <c r="D23" s="1149"/>
      <c r="E23" s="1149"/>
      <c r="G23" s="929">
        <f t="shared" si="0"/>
        <v>11648</v>
      </c>
    </row>
    <row r="24" spans="1:7">
      <c r="A24" s="1150" t="s">
        <v>663</v>
      </c>
      <c r="B24" s="1150" t="s">
        <v>1361</v>
      </c>
      <c r="C24" s="1154">
        <v>2200</v>
      </c>
      <c r="D24" s="1149"/>
      <c r="E24" s="1149"/>
      <c r="G24" s="929">
        <f t="shared" si="0"/>
        <v>2200</v>
      </c>
    </row>
    <row r="25" spans="1:7">
      <c r="A25" s="1150" t="s">
        <v>691</v>
      </c>
      <c r="B25" s="1150" t="s">
        <v>1061</v>
      </c>
      <c r="C25" s="1154">
        <v>239044.55</v>
      </c>
      <c r="D25" s="1149"/>
      <c r="E25" s="1149"/>
      <c r="G25" s="929">
        <f t="shared" si="0"/>
        <v>239044.55</v>
      </c>
    </row>
    <row r="26" spans="1:7">
      <c r="A26" s="1150" t="s">
        <v>697</v>
      </c>
      <c r="B26" s="1150" t="s">
        <v>692</v>
      </c>
      <c r="C26" s="1154">
        <v>355176.83</v>
      </c>
      <c r="D26" s="1149"/>
      <c r="E26" s="1149"/>
      <c r="G26" s="929">
        <f t="shared" si="0"/>
        <v>355176.83</v>
      </c>
    </row>
    <row r="27" spans="1:7">
      <c r="A27" s="1150" t="s">
        <v>1205</v>
      </c>
      <c r="B27" s="1150" t="s">
        <v>694</v>
      </c>
      <c r="C27" s="1154">
        <v>442910.74</v>
      </c>
      <c r="D27" s="1149"/>
      <c r="E27" s="1149"/>
      <c r="G27" s="929">
        <f t="shared" si="0"/>
        <v>442910.74</v>
      </c>
    </row>
    <row r="28" spans="1:7">
      <c r="A28" s="1150" t="s">
        <v>1362</v>
      </c>
      <c r="B28" s="1150" t="s">
        <v>1363</v>
      </c>
      <c r="C28" s="1149"/>
      <c r="D28" s="1149"/>
      <c r="E28" s="1154">
        <v>3314956</v>
      </c>
      <c r="G28" s="929">
        <f t="shared" si="0"/>
        <v>-3314956</v>
      </c>
    </row>
    <row r="29" spans="1:7">
      <c r="A29" s="1150" t="s">
        <v>1364</v>
      </c>
      <c r="B29" s="1150" t="s">
        <v>1365</v>
      </c>
      <c r="C29" s="1154">
        <v>130514</v>
      </c>
      <c r="D29" s="1149"/>
      <c r="E29" s="1149"/>
      <c r="G29" s="929">
        <f t="shared" si="0"/>
        <v>130514</v>
      </c>
    </row>
    <row r="30" spans="1:7">
      <c r="A30" s="1150" t="s">
        <v>1366</v>
      </c>
      <c r="B30" s="1150" t="s">
        <v>1367</v>
      </c>
      <c r="C30" s="1149"/>
      <c r="D30" s="1149"/>
      <c r="E30" s="1154">
        <v>144746.19</v>
      </c>
      <c r="G30" s="929">
        <f t="shared" si="0"/>
        <v>-144746.19</v>
      </c>
    </row>
    <row r="31" spans="1:7">
      <c r="A31" s="1150" t="s">
        <v>1210</v>
      </c>
      <c r="B31" s="1150" t="s">
        <v>1211</v>
      </c>
      <c r="C31" s="1149"/>
      <c r="D31" s="1149"/>
      <c r="E31" s="1154">
        <v>19358.47</v>
      </c>
      <c r="G31" s="929">
        <f t="shared" si="0"/>
        <v>-19358.47</v>
      </c>
    </row>
    <row r="32" spans="1:7">
      <c r="A32" s="1150" t="s">
        <v>1181</v>
      </c>
      <c r="B32" s="1150" t="s">
        <v>1182</v>
      </c>
      <c r="C32" s="1149"/>
      <c r="D32" s="1149"/>
      <c r="E32" s="1154">
        <v>9365.57</v>
      </c>
      <c r="G32" s="929">
        <f t="shared" si="0"/>
        <v>-9365.57</v>
      </c>
    </row>
    <row r="33" spans="1:7">
      <c r="A33" s="1150" t="s">
        <v>852</v>
      </c>
      <c r="B33" s="1150" t="s">
        <v>1183</v>
      </c>
      <c r="C33" s="1149"/>
      <c r="D33" s="1149"/>
      <c r="E33" s="1154">
        <v>139242.09</v>
      </c>
      <c r="G33" s="929">
        <f t="shared" si="0"/>
        <v>-139242.09</v>
      </c>
    </row>
    <row r="34" spans="1:7">
      <c r="A34" s="1150" t="s">
        <v>1062</v>
      </c>
      <c r="B34" s="1150" t="s">
        <v>1063</v>
      </c>
      <c r="C34" s="1149"/>
      <c r="D34" s="1149"/>
      <c r="E34" s="1154">
        <v>149779.54</v>
      </c>
      <c r="G34" s="929">
        <f t="shared" si="0"/>
        <v>-149779.54</v>
      </c>
    </row>
    <row r="35" spans="1:7">
      <c r="A35" s="1150" t="s">
        <v>1064</v>
      </c>
      <c r="B35" s="1150" t="s">
        <v>953</v>
      </c>
      <c r="C35" s="1149"/>
      <c r="D35" s="1149"/>
      <c r="E35" s="1154">
        <v>142581.84</v>
      </c>
      <c r="G35" s="929">
        <f t="shared" si="0"/>
        <v>-142581.84</v>
      </c>
    </row>
    <row r="36" spans="1:7">
      <c r="A36" s="1150" t="s">
        <v>769</v>
      </c>
      <c r="B36" s="1150" t="s">
        <v>1368</v>
      </c>
      <c r="C36" s="1149"/>
      <c r="D36" s="1149"/>
      <c r="E36" s="1154">
        <v>28000000</v>
      </c>
      <c r="G36" s="929">
        <f t="shared" si="0"/>
        <v>-28000000</v>
      </c>
    </row>
    <row r="37" spans="1:7">
      <c r="A37" s="1150" t="s">
        <v>834</v>
      </c>
      <c r="B37" s="1150" t="s">
        <v>1065</v>
      </c>
      <c r="C37" s="1149"/>
      <c r="D37" s="1149"/>
      <c r="E37" s="1154">
        <v>66144.740000000005</v>
      </c>
      <c r="G37" s="929">
        <f t="shared" si="0"/>
        <v>-66144.740000000005</v>
      </c>
    </row>
    <row r="38" spans="1:7">
      <c r="A38" s="1150" t="s">
        <v>1066</v>
      </c>
      <c r="B38" s="1150" t="s">
        <v>1067</v>
      </c>
      <c r="C38" s="1149"/>
      <c r="D38" s="1149"/>
      <c r="E38" s="1154">
        <v>7824551.1900000004</v>
      </c>
      <c r="G38" s="929">
        <f t="shared" si="0"/>
        <v>-7824551.1900000004</v>
      </c>
    </row>
    <row r="39" spans="1:7">
      <c r="A39" s="1150" t="s">
        <v>855</v>
      </c>
      <c r="B39" s="1150" t="s">
        <v>1068</v>
      </c>
      <c r="C39" s="1154">
        <v>14597709.449999999</v>
      </c>
      <c r="D39" s="1149"/>
      <c r="E39" s="1149"/>
      <c r="G39" s="929">
        <f t="shared" si="0"/>
        <v>14597709.449999999</v>
      </c>
    </row>
    <row r="40" spans="1:7">
      <c r="A40" s="1150" t="s">
        <v>916</v>
      </c>
      <c r="B40" s="1150" t="s">
        <v>1069</v>
      </c>
      <c r="C40" s="1149"/>
      <c r="D40" s="1149"/>
      <c r="E40" s="1154">
        <v>342383.2</v>
      </c>
      <c r="G40" s="929">
        <f t="shared" si="0"/>
        <v>-342383.2</v>
      </c>
    </row>
    <row r="41" spans="1:7">
      <c r="A41" s="1150" t="s">
        <v>1369</v>
      </c>
      <c r="B41" s="1150" t="s">
        <v>1370</v>
      </c>
      <c r="C41" s="1149"/>
      <c r="D41" s="1149"/>
      <c r="E41" s="1154">
        <v>1059750.3700000001</v>
      </c>
      <c r="G41" s="929">
        <f t="shared" si="0"/>
        <v>-1059750.3700000001</v>
      </c>
    </row>
    <row r="42" spans="1:7">
      <c r="A42" s="1150" t="s">
        <v>1514</v>
      </c>
      <c r="B42" s="1150" t="s">
        <v>1515</v>
      </c>
      <c r="C42" s="1154">
        <v>65479.31</v>
      </c>
      <c r="D42" s="1149"/>
      <c r="E42" s="1149"/>
      <c r="G42" s="929">
        <f t="shared" si="0"/>
        <v>65479.31</v>
      </c>
    </row>
    <row r="43" spans="1:7">
      <c r="A43" s="1150" t="s">
        <v>1371</v>
      </c>
      <c r="B43" s="1150" t="s">
        <v>1372</v>
      </c>
      <c r="C43" s="1149"/>
      <c r="D43" s="1149"/>
      <c r="E43" s="1154">
        <v>2961.63</v>
      </c>
      <c r="G43" s="929">
        <f t="shared" si="0"/>
        <v>-2961.63</v>
      </c>
    </row>
    <row r="44" spans="1:7">
      <c r="A44" s="1150" t="s">
        <v>1373</v>
      </c>
      <c r="B44" s="1150" t="s">
        <v>1070</v>
      </c>
      <c r="C44" s="1149"/>
      <c r="D44" s="1149"/>
      <c r="E44" s="1154">
        <v>302030.92</v>
      </c>
      <c r="G44" s="929">
        <f t="shared" si="0"/>
        <v>-302030.92</v>
      </c>
    </row>
    <row r="45" spans="1:7">
      <c r="A45" s="1150" t="s">
        <v>1374</v>
      </c>
      <c r="B45" s="1150" t="s">
        <v>1375</v>
      </c>
      <c r="C45" s="1149"/>
      <c r="D45" s="1149"/>
      <c r="E45" s="1154">
        <v>261747.56</v>
      </c>
      <c r="G45" s="929">
        <f t="shared" si="0"/>
        <v>-261747.56</v>
      </c>
    </row>
    <row r="46" spans="1:7">
      <c r="A46" s="1150" t="s">
        <v>1376</v>
      </c>
      <c r="B46" s="1150" t="s">
        <v>1071</v>
      </c>
      <c r="C46" s="1149"/>
      <c r="D46" s="1149"/>
      <c r="E46" s="1154">
        <v>298223.65999999997</v>
      </c>
      <c r="G46" s="929">
        <f t="shared" si="0"/>
        <v>-298223.65999999997</v>
      </c>
    </row>
    <row r="47" spans="1:7">
      <c r="A47" s="1150" t="s">
        <v>1510</v>
      </c>
      <c r="B47" s="1150" t="s">
        <v>1072</v>
      </c>
      <c r="C47" s="1154">
        <v>21949.05</v>
      </c>
      <c r="D47" s="1149"/>
      <c r="E47" s="1149"/>
      <c r="G47" s="929">
        <f t="shared" si="0"/>
        <v>21949.05</v>
      </c>
    </row>
    <row r="48" spans="1:7">
      <c r="A48" s="1150" t="s">
        <v>1377</v>
      </c>
      <c r="B48" s="1150" t="s">
        <v>1073</v>
      </c>
      <c r="C48" s="1149"/>
      <c r="D48" s="1149"/>
      <c r="E48" s="1154">
        <v>28112.35</v>
      </c>
      <c r="G48" s="929">
        <f t="shared" si="0"/>
        <v>-28112.35</v>
      </c>
    </row>
    <row r="49" spans="1:7">
      <c r="A49" s="1150" t="s">
        <v>1378</v>
      </c>
      <c r="B49" s="1150" t="s">
        <v>1379</v>
      </c>
      <c r="C49" s="1149"/>
      <c r="D49" s="1149"/>
      <c r="E49" s="1154">
        <v>52509.49</v>
      </c>
      <c r="G49" s="929">
        <f t="shared" si="0"/>
        <v>-52509.49</v>
      </c>
    </row>
    <row r="50" spans="1:7">
      <c r="A50" s="1150" t="s">
        <v>1380</v>
      </c>
      <c r="B50" s="1150" t="s">
        <v>1074</v>
      </c>
      <c r="C50" s="1149"/>
      <c r="D50" s="1149"/>
      <c r="E50" s="1154">
        <v>60020.12</v>
      </c>
      <c r="G50" s="929">
        <f t="shared" si="0"/>
        <v>-60020.12</v>
      </c>
    </row>
    <row r="51" spans="1:7">
      <c r="A51" s="1150" t="s">
        <v>1381</v>
      </c>
      <c r="B51" s="1150" t="s">
        <v>1382</v>
      </c>
      <c r="C51" s="1149"/>
      <c r="D51" s="1149"/>
      <c r="E51" s="1154">
        <v>69581.95</v>
      </c>
      <c r="G51" s="929">
        <f t="shared" si="0"/>
        <v>-69581.95</v>
      </c>
    </row>
    <row r="52" spans="1:7">
      <c r="A52" s="1150" t="s">
        <v>1221</v>
      </c>
      <c r="B52" s="1150" t="s">
        <v>1222</v>
      </c>
      <c r="C52" s="1149"/>
      <c r="D52" s="1149"/>
      <c r="E52" s="1154">
        <v>10500</v>
      </c>
      <c r="G52" s="929">
        <f t="shared" si="0"/>
        <v>-10500</v>
      </c>
    </row>
    <row r="53" spans="1:7">
      <c r="A53" s="1150" t="s">
        <v>1383</v>
      </c>
      <c r="B53" s="1150" t="s">
        <v>1384</v>
      </c>
      <c r="C53" s="1149"/>
      <c r="D53" s="1149"/>
      <c r="E53" s="1154">
        <v>28980.85</v>
      </c>
      <c r="G53" s="929">
        <f t="shared" si="0"/>
        <v>-28980.85</v>
      </c>
    </row>
    <row r="54" spans="1:7">
      <c r="A54" s="1150" t="s">
        <v>1385</v>
      </c>
      <c r="B54" s="1150" t="s">
        <v>1386</v>
      </c>
      <c r="C54" s="1149"/>
      <c r="D54" s="1149"/>
      <c r="E54" s="1154">
        <v>87875.839999999997</v>
      </c>
      <c r="G54" s="929">
        <f t="shared" si="0"/>
        <v>-87875.839999999997</v>
      </c>
    </row>
    <row r="55" spans="1:7">
      <c r="A55" s="1150" t="s">
        <v>1003</v>
      </c>
      <c r="B55" s="1150" t="s">
        <v>1075</v>
      </c>
      <c r="C55" s="1154">
        <v>126056.83</v>
      </c>
      <c r="D55" s="1149"/>
      <c r="E55" s="1149"/>
      <c r="G55" s="929">
        <f t="shared" si="0"/>
        <v>126056.83</v>
      </c>
    </row>
    <row r="56" spans="1:7">
      <c r="A56" s="1150" t="s">
        <v>1004</v>
      </c>
      <c r="B56" s="1150" t="s">
        <v>1076</v>
      </c>
      <c r="C56" s="1154">
        <v>10611.19</v>
      </c>
      <c r="D56" s="1149"/>
      <c r="E56" s="1149"/>
      <c r="G56" s="929">
        <f t="shared" si="0"/>
        <v>10611.19</v>
      </c>
    </row>
    <row r="57" spans="1:7">
      <c r="A57" s="1150" t="s">
        <v>1005</v>
      </c>
      <c r="B57" s="1150" t="s">
        <v>1077</v>
      </c>
      <c r="C57" s="1154">
        <v>5238.46</v>
      </c>
      <c r="D57" s="1149"/>
      <c r="E57" s="1149"/>
      <c r="G57" s="929">
        <f t="shared" si="0"/>
        <v>5238.46</v>
      </c>
    </row>
    <row r="58" spans="1:7">
      <c r="A58" s="1150" t="s">
        <v>1227</v>
      </c>
      <c r="B58" s="1150" t="s">
        <v>1228</v>
      </c>
      <c r="C58" s="1154">
        <v>6282.72</v>
      </c>
      <c r="D58" s="1149"/>
      <c r="E58" s="1149"/>
      <c r="G58" s="929">
        <f t="shared" si="0"/>
        <v>6282.72</v>
      </c>
    </row>
    <row r="59" spans="1:7">
      <c r="A59" s="1150" t="s">
        <v>1229</v>
      </c>
      <c r="B59" s="1150" t="s">
        <v>1230</v>
      </c>
      <c r="C59" s="1154">
        <v>56931.11</v>
      </c>
      <c r="D59" s="1149"/>
      <c r="E59" s="1149"/>
      <c r="G59" s="929">
        <f t="shared" si="0"/>
        <v>56931.11</v>
      </c>
    </row>
    <row r="60" spans="1:7">
      <c r="A60" s="1150" t="s">
        <v>1233</v>
      </c>
      <c r="B60" s="1150" t="s">
        <v>1234</v>
      </c>
      <c r="C60" s="1154">
        <v>17041.71</v>
      </c>
      <c r="D60" s="1149"/>
      <c r="E60" s="1149"/>
      <c r="G60" s="929">
        <f t="shared" si="0"/>
        <v>17041.71</v>
      </c>
    </row>
    <row r="61" spans="1:7">
      <c r="A61" s="1150" t="s">
        <v>1387</v>
      </c>
      <c r="B61" s="1150" t="s">
        <v>1388</v>
      </c>
      <c r="C61" s="1154">
        <v>5201.54</v>
      </c>
      <c r="D61" s="1149"/>
      <c r="E61" s="1149"/>
      <c r="G61" s="929">
        <f t="shared" si="0"/>
        <v>5201.54</v>
      </c>
    </row>
    <row r="62" spans="1:7">
      <c r="A62" s="1150" t="s">
        <v>1288</v>
      </c>
      <c r="B62" s="1150" t="s">
        <v>1289</v>
      </c>
      <c r="C62" s="1154">
        <v>1570.03</v>
      </c>
      <c r="D62" s="1149"/>
      <c r="E62" s="1149"/>
      <c r="G62" s="929">
        <f t="shared" si="0"/>
        <v>1570.03</v>
      </c>
    </row>
    <row r="63" spans="1:7">
      <c r="A63" s="1150" t="s">
        <v>1237</v>
      </c>
      <c r="B63" s="1150" t="s">
        <v>1238</v>
      </c>
      <c r="C63" s="1154">
        <v>431.94</v>
      </c>
      <c r="D63" s="1149"/>
      <c r="E63" s="1149"/>
      <c r="G63" s="929">
        <f t="shared" si="0"/>
        <v>431.94</v>
      </c>
    </row>
    <row r="64" spans="1:7">
      <c r="A64" s="1150" t="s">
        <v>1239</v>
      </c>
      <c r="B64" s="1150" t="s">
        <v>1240</v>
      </c>
      <c r="C64" s="1154">
        <v>6265.12</v>
      </c>
      <c r="D64" s="1149"/>
      <c r="E64" s="1149"/>
      <c r="G64" s="929">
        <f t="shared" si="0"/>
        <v>6265.12</v>
      </c>
    </row>
    <row r="65" spans="1:7">
      <c r="A65" s="1150" t="s">
        <v>1516</v>
      </c>
      <c r="B65" s="1150" t="s">
        <v>1517</v>
      </c>
      <c r="C65" s="1154">
        <v>17580.25</v>
      </c>
      <c r="D65" s="1149"/>
      <c r="E65" s="1149"/>
      <c r="G65" s="929">
        <f t="shared" si="0"/>
        <v>17580.25</v>
      </c>
    </row>
    <row r="66" spans="1:7">
      <c r="A66" s="1150" t="s">
        <v>1241</v>
      </c>
      <c r="B66" s="1150" t="s">
        <v>1242</v>
      </c>
      <c r="C66" s="1154">
        <v>79984.429999999993</v>
      </c>
      <c r="D66" s="1149"/>
      <c r="E66" s="1149"/>
      <c r="G66" s="929">
        <f t="shared" si="0"/>
        <v>79984.429999999993</v>
      </c>
    </row>
    <row r="67" spans="1:7">
      <c r="A67" s="1150" t="s">
        <v>1243</v>
      </c>
      <c r="B67" s="1150" t="s">
        <v>1389</v>
      </c>
      <c r="C67" s="1154">
        <v>8719.99</v>
      </c>
      <c r="D67" s="1149"/>
      <c r="E67" s="1149"/>
      <c r="G67" s="929">
        <f t="shared" si="0"/>
        <v>8719.99</v>
      </c>
    </row>
    <row r="68" spans="1:7">
      <c r="A68" s="1150" t="s">
        <v>1331</v>
      </c>
      <c r="B68" s="1150" t="s">
        <v>1332</v>
      </c>
      <c r="C68" s="1154">
        <v>2585.46</v>
      </c>
      <c r="D68" s="1149"/>
      <c r="E68" s="1149"/>
      <c r="G68" s="929">
        <f t="shared" si="0"/>
        <v>2585.46</v>
      </c>
    </row>
    <row r="69" spans="1:7">
      <c r="A69" s="1150" t="s">
        <v>1244</v>
      </c>
      <c r="B69" s="1150" t="s">
        <v>1245</v>
      </c>
      <c r="C69" s="1154">
        <v>3615.57</v>
      </c>
      <c r="D69" s="1149"/>
      <c r="E69" s="1149"/>
      <c r="G69" s="929">
        <f t="shared" si="0"/>
        <v>3615.57</v>
      </c>
    </row>
    <row r="70" spans="1:7">
      <c r="A70" s="1150" t="s">
        <v>1390</v>
      </c>
      <c r="B70" s="1150" t="s">
        <v>1391</v>
      </c>
      <c r="C70" s="1154">
        <v>89057.22</v>
      </c>
      <c r="D70" s="1149"/>
      <c r="E70" s="1149"/>
      <c r="G70" s="929">
        <f t="shared" si="0"/>
        <v>89057.22</v>
      </c>
    </row>
    <row r="71" spans="1:7">
      <c r="A71" s="1150" t="s">
        <v>1248</v>
      </c>
      <c r="B71" s="1150" t="s">
        <v>1249</v>
      </c>
      <c r="C71" s="1154">
        <v>397.91</v>
      </c>
      <c r="D71" s="1149"/>
      <c r="E71" s="1149"/>
      <c r="G71" s="929">
        <f t="shared" si="0"/>
        <v>397.91</v>
      </c>
    </row>
    <row r="72" spans="1:7">
      <c r="A72" s="1150" t="s">
        <v>1250</v>
      </c>
      <c r="B72" s="1150" t="s">
        <v>1251</v>
      </c>
      <c r="C72" s="1154">
        <v>17863.86</v>
      </c>
      <c r="D72" s="1149"/>
      <c r="E72" s="1149"/>
      <c r="G72" s="929">
        <f t="shared" si="0"/>
        <v>17863.86</v>
      </c>
    </row>
    <row r="73" spans="1:7">
      <c r="A73" s="1150" t="s">
        <v>1252</v>
      </c>
      <c r="B73" s="1150" t="s">
        <v>1253</v>
      </c>
      <c r="C73" s="1154">
        <v>49569.67</v>
      </c>
      <c r="D73" s="1149"/>
      <c r="E73" s="1149"/>
      <c r="G73" s="929">
        <f t="shared" si="0"/>
        <v>49569.67</v>
      </c>
    </row>
    <row r="74" spans="1:7">
      <c r="A74" s="1150" t="s">
        <v>1254</v>
      </c>
      <c r="B74" s="1150" t="s">
        <v>1255</v>
      </c>
      <c r="C74" s="1149"/>
      <c r="D74" s="1149"/>
      <c r="E74" s="1154">
        <v>2625.79</v>
      </c>
      <c r="G74" s="929">
        <f t="shared" si="0"/>
        <v>-2625.79</v>
      </c>
    </row>
    <row r="75" spans="1:7">
      <c r="A75" s="1150" t="s">
        <v>1256</v>
      </c>
      <c r="B75" s="1150" t="s">
        <v>1257</v>
      </c>
      <c r="C75" s="1154">
        <v>10430.26</v>
      </c>
      <c r="D75" s="1149"/>
      <c r="E75" s="1149"/>
      <c r="G75" s="929">
        <f t="shared" si="0"/>
        <v>10430.26</v>
      </c>
    </row>
    <row r="76" spans="1:7">
      <c r="A76" s="1150" t="s">
        <v>1315</v>
      </c>
      <c r="B76" s="1150" t="s">
        <v>1316</v>
      </c>
      <c r="C76" s="1154">
        <v>1209.42</v>
      </c>
      <c r="D76" s="1149"/>
      <c r="E76" s="1149"/>
      <c r="G76" s="929">
        <f t="shared" si="0"/>
        <v>1209.42</v>
      </c>
    </row>
    <row r="77" spans="1:7">
      <c r="A77" s="1150" t="s">
        <v>982</v>
      </c>
      <c r="B77" s="1150" t="s">
        <v>1469</v>
      </c>
      <c r="C77" s="1154">
        <v>95320.22</v>
      </c>
      <c r="D77" s="1149"/>
      <c r="E77" s="1149"/>
      <c r="G77" s="929">
        <f t="shared" si="0"/>
        <v>95320.22</v>
      </c>
    </row>
    <row r="78" spans="1:7">
      <c r="A78" s="1150" t="s">
        <v>1258</v>
      </c>
      <c r="B78" s="1150" t="s">
        <v>1259</v>
      </c>
      <c r="C78" s="1154">
        <v>14827.64</v>
      </c>
      <c r="D78" s="1149"/>
      <c r="E78" s="1149"/>
      <c r="G78" s="929">
        <f t="shared" si="0"/>
        <v>14827.64</v>
      </c>
    </row>
    <row r="79" spans="1:7">
      <c r="A79" s="1150" t="s">
        <v>1260</v>
      </c>
      <c r="B79" s="1150" t="s">
        <v>1261</v>
      </c>
      <c r="C79" s="1154">
        <v>5491.41</v>
      </c>
      <c r="D79" s="1149"/>
      <c r="E79" s="1149"/>
      <c r="G79" s="929">
        <f t="shared" ref="G79:G92" si="1">C79-E79</f>
        <v>5491.41</v>
      </c>
    </row>
    <row r="80" spans="1:7">
      <c r="A80" s="1150" t="s">
        <v>1262</v>
      </c>
      <c r="B80" s="1150" t="s">
        <v>1263</v>
      </c>
      <c r="C80" s="1154">
        <v>28483.55</v>
      </c>
      <c r="D80" s="1149"/>
      <c r="E80" s="1149"/>
      <c r="G80" s="929">
        <f t="shared" si="1"/>
        <v>28483.55</v>
      </c>
    </row>
    <row r="81" spans="1:7">
      <c r="A81" s="1150" t="s">
        <v>1264</v>
      </c>
      <c r="B81" s="1150" t="s">
        <v>1265</v>
      </c>
      <c r="C81" s="1154">
        <v>362.37</v>
      </c>
      <c r="G81" s="929">
        <f t="shared" si="1"/>
        <v>362.37</v>
      </c>
    </row>
    <row r="82" spans="1:7">
      <c r="A82" s="1150" t="s">
        <v>1266</v>
      </c>
      <c r="B82" s="1150" t="s">
        <v>1392</v>
      </c>
      <c r="C82" s="1154">
        <v>26250.28</v>
      </c>
      <c r="G82" s="929">
        <f t="shared" si="1"/>
        <v>26250.28</v>
      </c>
    </row>
    <row r="83" spans="1:7">
      <c r="A83" s="1150" t="s">
        <v>1267</v>
      </c>
      <c r="B83" s="1150" t="s">
        <v>1268</v>
      </c>
      <c r="C83" s="1154">
        <v>78031.81</v>
      </c>
      <c r="G83" s="929">
        <f t="shared" si="1"/>
        <v>78031.81</v>
      </c>
    </row>
    <row r="84" spans="1:7">
      <c r="A84" s="1150" t="s">
        <v>1269</v>
      </c>
      <c r="B84" s="1150" t="s">
        <v>1270</v>
      </c>
      <c r="C84" s="1154">
        <v>21845.1</v>
      </c>
      <c r="G84" s="929">
        <f t="shared" si="1"/>
        <v>21845.1</v>
      </c>
    </row>
    <row r="85" spans="1:7">
      <c r="A85" s="1150" t="s">
        <v>1271</v>
      </c>
      <c r="B85" s="1150" t="s">
        <v>1272</v>
      </c>
      <c r="C85" s="1154">
        <v>362.37</v>
      </c>
      <c r="G85" s="929">
        <f t="shared" si="1"/>
        <v>362.37</v>
      </c>
    </row>
    <row r="86" spans="1:7">
      <c r="A86" s="1150" t="s">
        <v>1273</v>
      </c>
      <c r="B86" s="1150" t="s">
        <v>1274</v>
      </c>
      <c r="C86" s="1154">
        <v>15080.02</v>
      </c>
      <c r="G86" s="929">
        <f t="shared" si="1"/>
        <v>15080.02</v>
      </c>
    </row>
    <row r="87" spans="1:7">
      <c r="A87" s="1150" t="s">
        <v>1275</v>
      </c>
      <c r="B87" s="1150" t="s">
        <v>1276</v>
      </c>
      <c r="C87" s="1154">
        <v>20331.95</v>
      </c>
      <c r="G87" s="929">
        <f t="shared" si="1"/>
        <v>20331.95</v>
      </c>
    </row>
    <row r="88" spans="1:7">
      <c r="A88" s="1150" t="s">
        <v>1454</v>
      </c>
      <c r="B88" s="1150" t="s">
        <v>1455</v>
      </c>
      <c r="C88" s="1154">
        <v>956332.89</v>
      </c>
      <c r="G88" s="929">
        <f t="shared" si="1"/>
        <v>956332.89</v>
      </c>
    </row>
    <row r="89" spans="1:7">
      <c r="A89" s="1150" t="s">
        <v>1393</v>
      </c>
      <c r="B89" s="1150" t="s">
        <v>1394</v>
      </c>
      <c r="C89" s="1154">
        <v>40831</v>
      </c>
      <c r="G89" s="929">
        <f t="shared" si="1"/>
        <v>40831</v>
      </c>
    </row>
    <row r="90" spans="1:7">
      <c r="A90" s="1150" t="s">
        <v>1493</v>
      </c>
      <c r="B90" s="1150" t="s">
        <v>1494</v>
      </c>
      <c r="C90" s="1154">
        <v>552.16999999999996</v>
      </c>
      <c r="G90" s="929">
        <f t="shared" si="1"/>
        <v>552.16999999999996</v>
      </c>
    </row>
    <row r="91" spans="1:7">
      <c r="A91" s="1150" t="s">
        <v>1395</v>
      </c>
      <c r="B91" s="1150" t="s">
        <v>696</v>
      </c>
      <c r="C91" s="1154">
        <v>5968.75</v>
      </c>
      <c r="G91" s="929">
        <f t="shared" si="1"/>
        <v>5968.75</v>
      </c>
    </row>
    <row r="92" spans="1:7">
      <c r="A92" s="1150" t="s">
        <v>1396</v>
      </c>
      <c r="B92" s="1150" t="s">
        <v>1397</v>
      </c>
      <c r="C92" s="1154">
        <v>13310.96</v>
      </c>
      <c r="G92" s="929">
        <f t="shared" si="1"/>
        <v>13310.96</v>
      </c>
    </row>
    <row r="93" spans="1:7">
      <c r="A93" s="1150" t="s">
        <v>1398</v>
      </c>
      <c r="B93" s="1150" t="s">
        <v>1399</v>
      </c>
      <c r="C93" s="1154">
        <v>27225</v>
      </c>
      <c r="G93" s="929">
        <f>C93-E93</f>
        <v>27225</v>
      </c>
    </row>
    <row r="94" spans="1:7">
      <c r="A94" s="1150" t="s">
        <v>1400</v>
      </c>
      <c r="B94" s="1150" t="s">
        <v>1401</v>
      </c>
      <c r="C94" s="1154">
        <v>230.5</v>
      </c>
      <c r="G94" s="929">
        <f>C94-E94</f>
        <v>230.5</v>
      </c>
    </row>
    <row r="95" spans="1:7">
      <c r="A95" s="1150" t="s">
        <v>1450</v>
      </c>
      <c r="B95" s="1150" t="s">
        <v>1451</v>
      </c>
      <c r="C95" s="1154">
        <v>147.22999999999999</v>
      </c>
      <c r="G95" s="929">
        <f t="shared" ref="G95:G112" si="2">C95-E95</f>
        <v>147.22999999999999</v>
      </c>
    </row>
    <row r="96" spans="1:7">
      <c r="A96" s="1150" t="s">
        <v>1495</v>
      </c>
      <c r="B96" s="1150" t="s">
        <v>1496</v>
      </c>
      <c r="C96" s="1154">
        <v>1606.04</v>
      </c>
      <c r="G96" s="929">
        <f t="shared" si="2"/>
        <v>1606.04</v>
      </c>
    </row>
    <row r="97" spans="1:7">
      <c r="A97" s="1150" t="s">
        <v>1402</v>
      </c>
      <c r="B97" s="1150" t="s">
        <v>1403</v>
      </c>
      <c r="C97" s="1154">
        <v>111321.52</v>
      </c>
      <c r="D97" s="1149"/>
      <c r="E97" s="1149"/>
      <c r="G97" s="929">
        <f t="shared" si="2"/>
        <v>111321.52</v>
      </c>
    </row>
    <row r="98" spans="1:7">
      <c r="A98" s="1150" t="s">
        <v>1497</v>
      </c>
      <c r="B98" s="1150" t="s">
        <v>1498</v>
      </c>
      <c r="C98" s="1154">
        <v>500</v>
      </c>
      <c r="D98" s="1149"/>
      <c r="E98" s="1149"/>
      <c r="G98" s="929">
        <f t="shared" si="2"/>
        <v>500</v>
      </c>
    </row>
    <row r="99" spans="1:7">
      <c r="A99" s="1150" t="s">
        <v>1277</v>
      </c>
      <c r="B99" s="1150" t="s">
        <v>1278</v>
      </c>
      <c r="C99" s="1154">
        <v>84209.31</v>
      </c>
      <c r="D99" s="1149"/>
      <c r="E99" s="1149"/>
      <c r="G99" s="929">
        <f t="shared" si="2"/>
        <v>84209.31</v>
      </c>
    </row>
    <row r="100" spans="1:7">
      <c r="A100" s="1150" t="s">
        <v>1499</v>
      </c>
      <c r="B100" s="1150" t="s">
        <v>1500</v>
      </c>
      <c r="C100" s="1154">
        <v>1296</v>
      </c>
      <c r="D100" s="1149"/>
      <c r="E100" s="1149"/>
      <c r="G100" s="929">
        <f t="shared" si="2"/>
        <v>1296</v>
      </c>
    </row>
    <row r="101" spans="1:7">
      <c r="A101" s="1150" t="s">
        <v>1404</v>
      </c>
      <c r="B101" s="1150" t="s">
        <v>1405</v>
      </c>
      <c r="C101" s="1149"/>
      <c r="D101" s="1149"/>
      <c r="E101" s="1154">
        <v>157053.51</v>
      </c>
      <c r="G101" s="929">
        <f t="shared" si="2"/>
        <v>-157053.51</v>
      </c>
    </row>
    <row r="102" spans="1:7">
      <c r="A102" s="1149"/>
      <c r="B102" s="1150" t="s">
        <v>1406</v>
      </c>
      <c r="C102" s="1154">
        <v>42582168.950000003</v>
      </c>
      <c r="D102" s="1149"/>
      <c r="E102" s="1154">
        <v>42582168.950000003</v>
      </c>
      <c r="G102" s="929">
        <f t="shared" si="2"/>
        <v>0</v>
      </c>
    </row>
    <row r="103" spans="1:7">
      <c r="G103" s="929">
        <f>C103-E103</f>
        <v>0</v>
      </c>
    </row>
    <row r="104" spans="1:7">
      <c r="G104" s="929">
        <f t="shared" si="2"/>
        <v>0</v>
      </c>
    </row>
    <row r="105" spans="1:7">
      <c r="G105" s="929">
        <f t="shared" si="2"/>
        <v>0</v>
      </c>
    </row>
    <row r="106" spans="1:7">
      <c r="G106" s="929">
        <f t="shared" si="2"/>
        <v>0</v>
      </c>
    </row>
    <row r="107" spans="1:7">
      <c r="G107" s="929">
        <f t="shared" si="2"/>
        <v>0</v>
      </c>
    </row>
    <row r="108" spans="1:7">
      <c r="G108" s="929">
        <f t="shared" si="2"/>
        <v>0</v>
      </c>
    </row>
    <row r="109" spans="1:7">
      <c r="G109" s="929">
        <f t="shared" si="2"/>
        <v>0</v>
      </c>
    </row>
    <row r="110" spans="1:7">
      <c r="G110" s="929">
        <f t="shared" si="2"/>
        <v>0</v>
      </c>
    </row>
    <row r="111" spans="1:7">
      <c r="G111" s="929">
        <f t="shared" si="2"/>
        <v>0</v>
      </c>
    </row>
    <row r="112" spans="1:7">
      <c r="G112" s="929">
        <f t="shared" si="2"/>
        <v>0</v>
      </c>
    </row>
  </sheetData>
  <pageMargins left="0.75" right="0.75" top="0.75" bottom="0.5" header="0.5" footer="0.7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pageSetUpPr autoPageBreaks="0" fitToPage="1"/>
  </sheetPr>
  <dimension ref="A1:K157"/>
  <sheetViews>
    <sheetView topLeftCell="A118" zoomScale="90" zoomScaleNormal="90" workbookViewId="0">
      <selection activeCell="E119" sqref="E119"/>
    </sheetView>
  </sheetViews>
  <sheetFormatPr defaultColWidth="9.42578125" defaultRowHeight="12.75"/>
  <cols>
    <col min="1" max="1" width="12.5703125" style="402" customWidth="1"/>
    <col min="2" max="2" width="2.5703125" style="402" customWidth="1"/>
    <col min="3" max="3" width="41" style="402" customWidth="1"/>
    <col min="4" max="4" width="2.5703125" style="402" customWidth="1"/>
    <col min="5" max="5" width="16.5703125" style="402" customWidth="1"/>
    <col min="6" max="6" width="25.42578125" style="402" customWidth="1"/>
    <col min="7" max="7" width="9.42578125" style="402"/>
    <col min="8" max="8" width="13.42578125" style="402" customWidth="1"/>
    <col min="9" max="16384" width="9.42578125" style="402"/>
  </cols>
  <sheetData>
    <row r="1" spans="1:11" s="379" customFormat="1" ht="18">
      <c r="A1" s="1179" t="str">
        <f>'Review Comments'!B9</f>
        <v>COCONUT GROVE RETAIL XIII, LLC</v>
      </c>
      <c r="B1" s="1180"/>
      <c r="C1" s="1180"/>
      <c r="D1" s="1180"/>
      <c r="E1" s="1180"/>
      <c r="F1" s="1181"/>
    </row>
    <row r="2" spans="1:11" s="379" customFormat="1" ht="18">
      <c r="A2" s="1182" t="s">
        <v>321</v>
      </c>
      <c r="B2" s="1183"/>
      <c r="C2" s="1183"/>
      <c r="D2" s="1183"/>
      <c r="E2" s="1183"/>
      <c r="F2" s="1184"/>
    </row>
    <row r="3" spans="1:11" s="379" customFormat="1" ht="18.75" thickBot="1">
      <c r="A3" s="1185" t="str">
        <f>'Review Comments'!B11</f>
        <v>FOR THE MONTH 07/31/2026</v>
      </c>
      <c r="B3" s="1186"/>
      <c r="C3" s="1186"/>
      <c r="D3" s="1186"/>
      <c r="E3" s="1186"/>
      <c r="F3" s="1187"/>
    </row>
    <row r="4" spans="1:11" s="379" customFormat="1"/>
    <row r="5" spans="1:11" s="379" customFormat="1"/>
    <row r="6" spans="1:11" s="379" customFormat="1"/>
    <row r="7" spans="1:11" s="379" customFormat="1" ht="13.5" thickBot="1"/>
    <row r="8" spans="1:11" s="379" customFormat="1">
      <c r="A8" s="380"/>
      <c r="B8" s="381"/>
      <c r="C8" s="381"/>
      <c r="D8" s="381"/>
      <c r="E8" s="381"/>
      <c r="F8" s="382"/>
    </row>
    <row r="9" spans="1:11" s="379" customFormat="1" ht="26.25" thickBot="1">
      <c r="A9" s="383" t="s">
        <v>303</v>
      </c>
      <c r="B9" s="384"/>
      <c r="C9" s="384" t="s">
        <v>10</v>
      </c>
      <c r="D9" s="384"/>
      <c r="E9" s="384" t="s">
        <v>11</v>
      </c>
      <c r="F9" s="385" t="s">
        <v>105</v>
      </c>
      <c r="G9" s="386"/>
      <c r="H9" s="386"/>
      <c r="I9" s="386"/>
      <c r="J9" s="386"/>
      <c r="K9" s="386"/>
    </row>
    <row r="10" spans="1:11" s="379" customFormat="1">
      <c r="A10" s="387"/>
      <c r="F10" s="388"/>
    </row>
    <row r="11" spans="1:11" s="379" customFormat="1">
      <c r="A11" s="475">
        <v>42978</v>
      </c>
      <c r="B11" s="421"/>
      <c r="C11" s="550" t="s">
        <v>322</v>
      </c>
      <c r="D11" s="390"/>
      <c r="E11" s="395">
        <v>32580.99</v>
      </c>
      <c r="F11" s="583">
        <f>+E11</f>
        <v>32580.99</v>
      </c>
    </row>
    <row r="12" spans="1:11" s="379" customFormat="1">
      <c r="A12" s="607">
        <v>43038</v>
      </c>
      <c r="B12" s="390"/>
      <c r="C12" s="608" t="s">
        <v>305</v>
      </c>
      <c r="D12" s="390"/>
      <c r="E12" s="491">
        <v>12531.15</v>
      </c>
      <c r="F12" s="583">
        <f t="shared" ref="F12:F30" si="0">F11+E12</f>
        <v>45112.14</v>
      </c>
      <c r="G12" s="400"/>
    </row>
    <row r="13" spans="1:11" s="379" customFormat="1">
      <c r="A13" s="607">
        <v>43068</v>
      </c>
      <c r="B13" s="390"/>
      <c r="C13" s="608" t="s">
        <v>323</v>
      </c>
      <c r="D13" s="390"/>
      <c r="E13" s="491">
        <v>12531.15</v>
      </c>
      <c r="F13" s="583">
        <f t="shared" si="0"/>
        <v>57643.29</v>
      </c>
    </row>
    <row r="14" spans="1:11" s="379" customFormat="1">
      <c r="A14" s="607">
        <v>43098</v>
      </c>
      <c r="B14" s="390"/>
      <c r="C14" s="608" t="s">
        <v>324</v>
      </c>
      <c r="D14" s="390"/>
      <c r="E14" s="491">
        <v>12531.15</v>
      </c>
      <c r="F14" s="583">
        <f t="shared" si="0"/>
        <v>70174.44</v>
      </c>
    </row>
    <row r="15" spans="1:11" s="379" customFormat="1">
      <c r="A15" s="607">
        <v>43117</v>
      </c>
      <c r="B15" s="390"/>
      <c r="C15" s="608" t="s">
        <v>325</v>
      </c>
      <c r="D15" s="390"/>
      <c r="E15" s="491">
        <v>12531.15</v>
      </c>
      <c r="F15" s="583">
        <f t="shared" si="0"/>
        <v>82705.59</v>
      </c>
    </row>
    <row r="16" spans="1:11" s="379" customFormat="1">
      <c r="A16" s="607">
        <v>43159</v>
      </c>
      <c r="B16" s="390"/>
      <c r="C16" s="608" t="s">
        <v>326</v>
      </c>
      <c r="D16" s="390"/>
      <c r="E16" s="491">
        <v>12531.15</v>
      </c>
      <c r="F16" s="583">
        <f t="shared" si="0"/>
        <v>95236.739999999991</v>
      </c>
    </row>
    <row r="17" spans="1:8" s="379" customFormat="1">
      <c r="A17" s="607">
        <v>43151</v>
      </c>
      <c r="B17" s="390"/>
      <c r="C17" s="608" t="s">
        <v>327</v>
      </c>
      <c r="D17" s="390"/>
      <c r="E17" s="491">
        <v>-45856.41</v>
      </c>
      <c r="F17" s="583">
        <f t="shared" si="0"/>
        <v>49380.329999999987</v>
      </c>
    </row>
    <row r="18" spans="1:8" s="379" customFormat="1">
      <c r="A18" s="607">
        <v>43151</v>
      </c>
      <c r="B18" s="390"/>
      <c r="C18" s="608" t="s">
        <v>328</v>
      </c>
      <c r="D18" s="390"/>
      <c r="E18" s="491">
        <v>-9144.41</v>
      </c>
      <c r="F18" s="583">
        <f t="shared" si="0"/>
        <v>40235.919999999984</v>
      </c>
    </row>
    <row r="19" spans="1:8" s="379" customFormat="1">
      <c r="A19" s="607">
        <v>43151</v>
      </c>
      <c r="B19" s="390"/>
      <c r="C19" s="608" t="s">
        <v>329</v>
      </c>
      <c r="D19" s="390"/>
      <c r="E19" s="491">
        <v>-19884.82</v>
      </c>
      <c r="F19" s="583">
        <f t="shared" si="0"/>
        <v>20351.099999999984</v>
      </c>
    </row>
    <row r="20" spans="1:8" s="379" customFormat="1">
      <c r="A20" s="607">
        <v>43190</v>
      </c>
      <c r="B20" s="390"/>
      <c r="C20" s="608" t="s">
        <v>330</v>
      </c>
      <c r="D20" s="390"/>
      <c r="E20" s="491">
        <v>12531.15</v>
      </c>
      <c r="F20" s="583">
        <f t="shared" si="0"/>
        <v>32882.249999999985</v>
      </c>
    </row>
    <row r="21" spans="1:8" s="379" customFormat="1">
      <c r="A21" s="607">
        <v>43220</v>
      </c>
      <c r="B21" s="390"/>
      <c r="C21" s="608" t="s">
        <v>331</v>
      </c>
      <c r="D21" s="390"/>
      <c r="E21" s="491">
        <v>12531.15</v>
      </c>
      <c r="F21" s="583">
        <f t="shared" si="0"/>
        <v>45413.399999999987</v>
      </c>
    </row>
    <row r="22" spans="1:8" s="379" customFormat="1">
      <c r="A22" s="607">
        <v>43251</v>
      </c>
      <c r="B22" s="390"/>
      <c r="C22" s="608" t="s">
        <v>332</v>
      </c>
      <c r="D22" s="390"/>
      <c r="E22" s="491">
        <v>12531.15</v>
      </c>
      <c r="F22" s="583">
        <f t="shared" si="0"/>
        <v>57944.549999999988</v>
      </c>
    </row>
    <row r="23" spans="1:8" s="379" customFormat="1">
      <c r="A23" s="607">
        <v>43281</v>
      </c>
      <c r="B23" s="390"/>
      <c r="C23" s="608" t="s">
        <v>333</v>
      </c>
      <c r="D23" s="390"/>
      <c r="E23" s="491">
        <v>12531.15</v>
      </c>
      <c r="F23" s="583">
        <f t="shared" si="0"/>
        <v>70475.699999999983</v>
      </c>
    </row>
    <row r="24" spans="1:8" s="379" customFormat="1">
      <c r="A24" s="607">
        <v>43312</v>
      </c>
      <c r="B24" s="390"/>
      <c r="C24" s="608" t="s">
        <v>334</v>
      </c>
      <c r="D24" s="390"/>
      <c r="E24" s="491">
        <v>12531.15</v>
      </c>
      <c r="F24" s="583">
        <f t="shared" si="0"/>
        <v>83006.849999999977</v>
      </c>
    </row>
    <row r="25" spans="1:8" s="379" customFormat="1">
      <c r="A25" s="607">
        <v>43343</v>
      </c>
      <c r="B25" s="390"/>
      <c r="C25" s="608" t="s">
        <v>335</v>
      </c>
      <c r="D25" s="390"/>
      <c r="E25" s="491">
        <v>12531.15</v>
      </c>
      <c r="F25" s="583">
        <f t="shared" si="0"/>
        <v>95537.999999999971</v>
      </c>
    </row>
    <row r="26" spans="1:8" s="379" customFormat="1">
      <c r="A26" s="607">
        <v>43306</v>
      </c>
      <c r="B26" s="390"/>
      <c r="C26" s="608" t="s">
        <v>327</v>
      </c>
      <c r="D26" s="390"/>
      <c r="E26" s="491">
        <v>-46067.22</v>
      </c>
      <c r="F26" s="583">
        <f t="shared" si="0"/>
        <v>49470.77999999997</v>
      </c>
    </row>
    <row r="27" spans="1:8" s="379" customFormat="1">
      <c r="A27" s="607">
        <v>43306</v>
      </c>
      <c r="B27" s="390"/>
      <c r="C27" s="608" t="s">
        <v>328</v>
      </c>
      <c r="D27" s="390"/>
      <c r="E27" s="491">
        <v>-9241.51</v>
      </c>
      <c r="F27" s="583">
        <f t="shared" si="0"/>
        <v>40229.269999999968</v>
      </c>
      <c r="H27" s="491"/>
    </row>
    <row r="28" spans="1:8" s="379" customFormat="1">
      <c r="A28" s="607">
        <v>43306</v>
      </c>
      <c r="B28" s="390"/>
      <c r="C28" s="608" t="s">
        <v>329</v>
      </c>
      <c r="D28" s="390"/>
      <c r="E28" s="491">
        <v>-21114.43</v>
      </c>
      <c r="F28" s="583">
        <f t="shared" si="0"/>
        <v>19114.839999999967</v>
      </c>
    </row>
    <row r="29" spans="1:8" s="379" customFormat="1">
      <c r="A29" s="607">
        <v>43373</v>
      </c>
      <c r="B29" s="390"/>
      <c r="C29" s="608" t="s">
        <v>336</v>
      </c>
      <c r="D29" s="390"/>
      <c r="E29" s="491">
        <v>12531.15</v>
      </c>
      <c r="F29" s="583">
        <f t="shared" si="0"/>
        <v>31645.989999999969</v>
      </c>
    </row>
    <row r="30" spans="1:8" s="379" customFormat="1">
      <c r="A30" s="607">
        <v>43404</v>
      </c>
      <c r="B30" s="390"/>
      <c r="C30" s="608" t="s">
        <v>337</v>
      </c>
      <c r="D30" s="390"/>
      <c r="E30" s="491">
        <v>12222.89</v>
      </c>
      <c r="F30" s="583">
        <f t="shared" si="0"/>
        <v>43868.879999999968</v>
      </c>
    </row>
    <row r="31" spans="1:8" s="379" customFormat="1">
      <c r="A31" s="607">
        <v>43434</v>
      </c>
      <c r="B31" s="390"/>
      <c r="C31" s="608" t="s">
        <v>338</v>
      </c>
      <c r="D31" s="390"/>
      <c r="E31" s="491">
        <v>12222.89</v>
      </c>
      <c r="F31" s="583">
        <f t="shared" ref="F31:F62" si="1">F30+E31</f>
        <v>56091.769999999968</v>
      </c>
    </row>
    <row r="32" spans="1:8" s="379" customFormat="1">
      <c r="A32" s="607">
        <v>43465</v>
      </c>
      <c r="B32" s="390"/>
      <c r="C32" s="608" t="s">
        <v>339</v>
      </c>
      <c r="D32" s="390"/>
      <c r="E32" s="491">
        <v>12222.89</v>
      </c>
      <c r="F32" s="583">
        <f t="shared" si="1"/>
        <v>68314.659999999974</v>
      </c>
    </row>
    <row r="33" spans="1:6" s="379" customFormat="1">
      <c r="A33" s="607">
        <v>43469</v>
      </c>
      <c r="B33" s="390"/>
      <c r="C33" s="608" t="s">
        <v>340</v>
      </c>
      <c r="D33" s="390"/>
      <c r="E33" s="491">
        <v>12222.89</v>
      </c>
      <c r="F33" s="583">
        <f t="shared" si="1"/>
        <v>80537.549999999974</v>
      </c>
    </row>
    <row r="34" spans="1:6" s="379" customFormat="1">
      <c r="A34" s="607">
        <v>43481</v>
      </c>
      <c r="B34" s="390"/>
      <c r="C34" s="608" t="s">
        <v>327</v>
      </c>
      <c r="D34" s="390"/>
      <c r="E34" s="491">
        <v>-46067.199999999997</v>
      </c>
      <c r="F34" s="583">
        <f t="shared" si="1"/>
        <v>34470.349999999977</v>
      </c>
    </row>
    <row r="35" spans="1:6" s="379" customFormat="1">
      <c r="A35" s="607">
        <v>43481</v>
      </c>
      <c r="B35" s="390"/>
      <c r="C35" s="608" t="s">
        <v>328</v>
      </c>
      <c r="D35" s="390"/>
      <c r="E35" s="491">
        <v>-9241.51</v>
      </c>
      <c r="F35" s="583">
        <f t="shared" si="1"/>
        <v>25228.839999999975</v>
      </c>
    </row>
    <row r="36" spans="1:6" s="379" customFormat="1">
      <c r="A36" s="607">
        <v>43481</v>
      </c>
      <c r="B36" s="390"/>
      <c r="C36" s="608" t="s">
        <v>329</v>
      </c>
      <c r="D36" s="390"/>
      <c r="E36" s="491">
        <v>-21114.41</v>
      </c>
      <c r="F36" s="583">
        <f t="shared" si="1"/>
        <v>4114.4299999999748</v>
      </c>
    </row>
    <row r="37" spans="1:6" s="379" customFormat="1">
      <c r="A37" s="607">
        <v>43501</v>
      </c>
      <c r="B37" s="390"/>
      <c r="C37" s="608" t="s">
        <v>341</v>
      </c>
      <c r="D37" s="390"/>
      <c r="E37" s="491">
        <v>12222.89</v>
      </c>
      <c r="F37" s="583">
        <f t="shared" si="1"/>
        <v>16337.319999999974</v>
      </c>
    </row>
    <row r="38" spans="1:6" s="379" customFormat="1">
      <c r="A38" s="607">
        <v>43529</v>
      </c>
      <c r="B38" s="390"/>
      <c r="C38" s="608" t="s">
        <v>342</v>
      </c>
      <c r="D38" s="390"/>
      <c r="E38" s="491">
        <v>12222.89</v>
      </c>
      <c r="F38" s="583">
        <f t="shared" si="1"/>
        <v>28560.209999999974</v>
      </c>
    </row>
    <row r="39" spans="1:6" s="379" customFormat="1">
      <c r="A39" s="607">
        <v>43560</v>
      </c>
      <c r="B39" s="390"/>
      <c r="C39" s="608" t="s">
        <v>343</v>
      </c>
      <c r="D39" s="390"/>
      <c r="E39" s="491">
        <v>12222.89</v>
      </c>
      <c r="F39" s="583">
        <f t="shared" si="1"/>
        <v>40783.099999999977</v>
      </c>
    </row>
    <row r="40" spans="1:6" s="379" customFormat="1">
      <c r="A40" s="607">
        <v>43591</v>
      </c>
      <c r="B40" s="390"/>
      <c r="C40" s="608" t="s">
        <v>344</v>
      </c>
      <c r="D40" s="390"/>
      <c r="E40" s="491">
        <v>12222.89</v>
      </c>
      <c r="F40" s="583">
        <f t="shared" si="1"/>
        <v>53005.989999999976</v>
      </c>
    </row>
    <row r="41" spans="1:6" s="379" customFormat="1">
      <c r="A41" s="607">
        <v>43621</v>
      </c>
      <c r="B41" s="390"/>
      <c r="C41" s="608" t="s">
        <v>345</v>
      </c>
      <c r="D41" s="390"/>
      <c r="E41" s="491">
        <v>12222.89</v>
      </c>
      <c r="F41" s="583">
        <f t="shared" si="1"/>
        <v>65228.879999999976</v>
      </c>
    </row>
    <row r="42" spans="1:6" s="379" customFormat="1">
      <c r="A42" s="607">
        <v>43651</v>
      </c>
      <c r="B42" s="390"/>
      <c r="C42" s="608" t="s">
        <v>346</v>
      </c>
      <c r="D42" s="390"/>
      <c r="E42" s="491">
        <v>12222.89</v>
      </c>
      <c r="F42" s="583">
        <f t="shared" si="1"/>
        <v>77451.769999999975</v>
      </c>
    </row>
    <row r="43" spans="1:6" s="379" customFormat="1">
      <c r="A43" s="607">
        <v>43669</v>
      </c>
      <c r="B43" s="390"/>
      <c r="C43" s="608" t="s">
        <v>327</v>
      </c>
      <c r="D43" s="390"/>
      <c r="E43" s="491">
        <v>-46090.49</v>
      </c>
      <c r="F43" s="583">
        <f t="shared" si="1"/>
        <v>31361.279999999977</v>
      </c>
    </row>
    <row r="44" spans="1:6" s="379" customFormat="1">
      <c r="A44" s="607">
        <v>43669</v>
      </c>
      <c r="B44" s="390"/>
      <c r="C44" s="608" t="s">
        <v>328</v>
      </c>
      <c r="D44" s="390"/>
      <c r="E44" s="491">
        <v>-9291.3799999999992</v>
      </c>
      <c r="F44" s="583">
        <f t="shared" si="1"/>
        <v>22069.89999999998</v>
      </c>
    </row>
    <row r="45" spans="1:6" s="379" customFormat="1">
      <c r="A45" s="607">
        <v>43669</v>
      </c>
      <c r="B45" s="390"/>
      <c r="C45" s="608" t="s">
        <v>329</v>
      </c>
      <c r="D45" s="390"/>
      <c r="E45" s="491">
        <v>-21240.77</v>
      </c>
      <c r="F45" s="583">
        <f t="shared" si="1"/>
        <v>829.12999999997919</v>
      </c>
    </row>
    <row r="46" spans="1:6" s="379" customFormat="1">
      <c r="A46" s="607">
        <v>43682</v>
      </c>
      <c r="B46" s="390"/>
      <c r="C46" s="608" t="s">
        <v>347</v>
      </c>
      <c r="D46" s="390"/>
      <c r="E46" s="491">
        <v>12222.89</v>
      </c>
      <c r="F46" s="583">
        <f t="shared" si="1"/>
        <v>13052.019999999979</v>
      </c>
    </row>
    <row r="47" spans="1:6" s="379" customFormat="1">
      <c r="A47" s="607">
        <v>43713</v>
      </c>
      <c r="B47" s="390"/>
      <c r="C47" s="608" t="s">
        <v>348</v>
      </c>
      <c r="D47" s="390"/>
      <c r="E47" s="491">
        <v>12700.04</v>
      </c>
      <c r="F47" s="583">
        <f t="shared" si="1"/>
        <v>25752.059999999979</v>
      </c>
    </row>
    <row r="48" spans="1:6" s="379" customFormat="1">
      <c r="A48" s="607">
        <v>43742</v>
      </c>
      <c r="B48" s="390"/>
      <c r="C48" s="608" t="s">
        <v>349</v>
      </c>
      <c r="D48" s="390"/>
      <c r="E48" s="491">
        <v>12700.04</v>
      </c>
      <c r="F48" s="583">
        <f t="shared" si="1"/>
        <v>38452.099999999977</v>
      </c>
    </row>
    <row r="49" spans="1:6" s="379" customFormat="1">
      <c r="A49" s="607">
        <v>43774</v>
      </c>
      <c r="B49" s="390"/>
      <c r="C49" s="608" t="s">
        <v>350</v>
      </c>
      <c r="D49" s="390"/>
      <c r="E49" s="491">
        <v>12700.04</v>
      </c>
      <c r="F49" s="583">
        <f t="shared" si="1"/>
        <v>51152.139999999978</v>
      </c>
    </row>
    <row r="50" spans="1:6" s="379" customFormat="1">
      <c r="A50" s="607">
        <v>43804</v>
      </c>
      <c r="B50" s="390"/>
      <c r="C50" s="608" t="s">
        <v>351</v>
      </c>
      <c r="D50" s="390"/>
      <c r="E50" s="491">
        <v>12700.04</v>
      </c>
      <c r="F50" s="583">
        <f t="shared" si="1"/>
        <v>63852.179999999978</v>
      </c>
    </row>
    <row r="51" spans="1:6" s="379" customFormat="1">
      <c r="A51" s="607">
        <v>43836</v>
      </c>
      <c r="B51" s="390"/>
      <c r="C51" s="608" t="s">
        <v>352</v>
      </c>
      <c r="D51" s="390"/>
      <c r="E51" s="491">
        <v>12770.44</v>
      </c>
      <c r="F51" s="583">
        <f t="shared" si="1"/>
        <v>76622.619999999981</v>
      </c>
    </row>
    <row r="52" spans="1:6" s="379" customFormat="1">
      <c r="A52" s="607">
        <v>43847</v>
      </c>
      <c r="B52" s="390"/>
      <c r="C52" s="608" t="s">
        <v>327</v>
      </c>
      <c r="D52" s="390"/>
      <c r="E52" s="491">
        <v>-46090.49</v>
      </c>
      <c r="F52" s="583">
        <f t="shared" si="1"/>
        <v>30532.129999999983</v>
      </c>
    </row>
    <row r="53" spans="1:6" s="379" customFormat="1">
      <c r="A53" s="607">
        <v>43847</v>
      </c>
      <c r="B53" s="390"/>
      <c r="C53" s="608" t="s">
        <v>328</v>
      </c>
      <c r="D53" s="390"/>
      <c r="E53" s="491">
        <v>-9291.3799999999992</v>
      </c>
      <c r="F53" s="583">
        <f t="shared" si="1"/>
        <v>21240.749999999985</v>
      </c>
    </row>
    <row r="54" spans="1:6" s="379" customFormat="1">
      <c r="A54" s="607">
        <v>43847</v>
      </c>
      <c r="B54" s="390"/>
      <c r="C54" s="608" t="s">
        <v>329</v>
      </c>
      <c r="D54" s="390"/>
      <c r="E54" s="491">
        <v>-21240.77</v>
      </c>
      <c r="F54" s="583">
        <f t="shared" si="1"/>
        <v>-2.0000000014988473E-2</v>
      </c>
    </row>
    <row r="55" spans="1:6" s="379" customFormat="1">
      <c r="A55" s="607">
        <v>43847</v>
      </c>
      <c r="B55" s="390"/>
      <c r="C55" s="608" t="s">
        <v>353</v>
      </c>
      <c r="D55" s="390"/>
      <c r="E55" s="491">
        <v>0.02</v>
      </c>
      <c r="F55" s="583">
        <f t="shared" si="1"/>
        <v>-1.4988472268884223E-11</v>
      </c>
    </row>
    <row r="56" spans="1:6" s="379" customFormat="1">
      <c r="A56" s="607">
        <v>43866</v>
      </c>
      <c r="B56" s="390"/>
      <c r="C56" s="608" t="s">
        <v>354</v>
      </c>
      <c r="D56" s="390"/>
      <c r="E56" s="491">
        <v>12770.44</v>
      </c>
      <c r="F56" s="583">
        <f t="shared" si="1"/>
        <v>12770.439999999986</v>
      </c>
    </row>
    <row r="57" spans="1:6" s="379" customFormat="1">
      <c r="A57" s="607">
        <v>43895</v>
      </c>
      <c r="B57" s="390"/>
      <c r="C57" s="608" t="s">
        <v>355</v>
      </c>
      <c r="D57" s="390"/>
      <c r="E57" s="491">
        <v>12770.44</v>
      </c>
      <c r="F57" s="583">
        <f t="shared" si="1"/>
        <v>25540.879999999986</v>
      </c>
    </row>
    <row r="58" spans="1:6" s="379" customFormat="1">
      <c r="A58" s="607">
        <v>43927</v>
      </c>
      <c r="B58" s="390"/>
      <c r="C58" s="608" t="s">
        <v>356</v>
      </c>
      <c r="D58" s="390"/>
      <c r="E58" s="491">
        <v>12770.44</v>
      </c>
      <c r="F58" s="583">
        <f t="shared" si="1"/>
        <v>38311.319999999985</v>
      </c>
    </row>
    <row r="59" spans="1:6" s="379" customFormat="1">
      <c r="A59" s="607">
        <v>43956</v>
      </c>
      <c r="B59" s="390"/>
      <c r="C59" s="608" t="s">
        <v>357</v>
      </c>
      <c r="D59" s="390"/>
      <c r="E59" s="491">
        <v>12770.44</v>
      </c>
      <c r="F59" s="583">
        <f t="shared" si="1"/>
        <v>51081.759999999987</v>
      </c>
    </row>
    <row r="60" spans="1:6" s="379" customFormat="1">
      <c r="A60" s="607">
        <v>43987</v>
      </c>
      <c r="B60" s="390"/>
      <c r="C60" s="608" t="s">
        <v>358</v>
      </c>
      <c r="D60" s="390"/>
      <c r="E60" s="491">
        <v>12770.44</v>
      </c>
      <c r="F60" s="583">
        <f t="shared" si="1"/>
        <v>63852.19999999999</v>
      </c>
    </row>
    <row r="61" spans="1:6" s="379" customFormat="1" ht="12" customHeight="1">
      <c r="A61" s="607">
        <v>44018</v>
      </c>
      <c r="B61" s="390"/>
      <c r="C61" s="608" t="s">
        <v>359</v>
      </c>
      <c r="D61" s="390"/>
      <c r="E61" s="491">
        <v>12770.44</v>
      </c>
      <c r="F61" s="583">
        <f t="shared" si="1"/>
        <v>76622.639999999985</v>
      </c>
    </row>
    <row r="62" spans="1:6" s="379" customFormat="1">
      <c r="A62" s="607">
        <v>44035</v>
      </c>
      <c r="B62" s="390"/>
      <c r="C62" s="608" t="s">
        <v>327</v>
      </c>
      <c r="D62" s="390"/>
      <c r="E62" s="491">
        <v>-46099.14</v>
      </c>
      <c r="F62" s="583">
        <f t="shared" si="1"/>
        <v>30523.499999999985</v>
      </c>
    </row>
    <row r="63" spans="1:6" s="379" customFormat="1">
      <c r="A63" s="607">
        <v>44035</v>
      </c>
      <c r="B63" s="390"/>
      <c r="C63" s="608" t="s">
        <v>328</v>
      </c>
      <c r="D63" s="390"/>
      <c r="E63" s="491">
        <v>-9345.92</v>
      </c>
      <c r="F63" s="583">
        <f>F62+E63</f>
        <v>21177.579999999987</v>
      </c>
    </row>
    <row r="64" spans="1:6" s="379" customFormat="1">
      <c r="A64" s="607">
        <v>44035</v>
      </c>
      <c r="B64" s="390"/>
      <c r="C64" s="608" t="s">
        <v>329</v>
      </c>
      <c r="D64" s="390"/>
      <c r="E64" s="491">
        <v>-21281.34</v>
      </c>
      <c r="F64" s="583">
        <f t="shared" ref="F64:F108" si="2">F63+E64</f>
        <v>-103.76000000001295</v>
      </c>
    </row>
    <row r="65" spans="1:8" s="379" customFormat="1">
      <c r="A65" s="607">
        <v>44035</v>
      </c>
      <c r="B65" s="390"/>
      <c r="C65" s="608" t="s">
        <v>353</v>
      </c>
      <c r="D65" s="390"/>
      <c r="E65" s="491">
        <v>103.76</v>
      </c>
      <c r="F65" s="583">
        <f t="shared" si="2"/>
        <v>-1.2946088645549025E-11</v>
      </c>
    </row>
    <row r="66" spans="1:8" s="379" customFormat="1">
      <c r="A66" s="607">
        <v>44048</v>
      </c>
      <c r="B66" s="390"/>
      <c r="C66" s="608" t="s">
        <v>360</v>
      </c>
      <c r="D66" s="390"/>
      <c r="E66" s="491">
        <v>12770.44</v>
      </c>
      <c r="F66" s="583">
        <f t="shared" si="2"/>
        <v>12770.439999999988</v>
      </c>
    </row>
    <row r="67" spans="1:8" s="379" customFormat="1">
      <c r="A67" s="607">
        <v>44078</v>
      </c>
      <c r="B67" s="390"/>
      <c r="C67" s="608" t="s">
        <v>361</v>
      </c>
      <c r="D67" s="390"/>
      <c r="E67" s="491">
        <v>12770.44</v>
      </c>
      <c r="F67" s="583">
        <f t="shared" si="2"/>
        <v>25540.87999999999</v>
      </c>
    </row>
    <row r="68" spans="1:8" s="379" customFormat="1">
      <c r="A68" s="607">
        <v>44110</v>
      </c>
      <c r="B68" s="390"/>
      <c r="C68" s="608" t="s">
        <v>362</v>
      </c>
      <c r="D68" s="390"/>
      <c r="E68" s="491">
        <v>12770.44</v>
      </c>
      <c r="F68" s="583">
        <f t="shared" si="2"/>
        <v>38311.319999999992</v>
      </c>
    </row>
    <row r="69" spans="1:8" s="379" customFormat="1">
      <c r="A69" s="607">
        <v>44140</v>
      </c>
      <c r="B69" s="390"/>
      <c r="C69" s="608" t="s">
        <v>363</v>
      </c>
      <c r="D69" s="390"/>
      <c r="E69" s="491">
        <v>13307.58</v>
      </c>
      <c r="F69" s="583">
        <f t="shared" si="2"/>
        <v>51618.899999999994</v>
      </c>
    </row>
    <row r="70" spans="1:8" s="379" customFormat="1">
      <c r="A70" s="607">
        <v>44169</v>
      </c>
      <c r="B70" s="390"/>
      <c r="C70" s="608" t="s">
        <v>364</v>
      </c>
      <c r="D70" s="390"/>
      <c r="E70" s="491">
        <v>13307.58</v>
      </c>
      <c r="F70" s="583">
        <f t="shared" si="2"/>
        <v>64926.479999999996</v>
      </c>
    </row>
    <row r="71" spans="1:8" s="379" customFormat="1">
      <c r="A71" s="607">
        <v>44201</v>
      </c>
      <c r="B71" s="390"/>
      <c r="C71" s="608" t="s">
        <v>365</v>
      </c>
      <c r="D71" s="390"/>
      <c r="E71" s="491">
        <v>13307.58</v>
      </c>
      <c r="F71" s="583">
        <f t="shared" si="2"/>
        <v>78234.06</v>
      </c>
    </row>
    <row r="72" spans="1:8" s="379" customFormat="1">
      <c r="A72" s="607">
        <v>44224</v>
      </c>
      <c r="B72" s="390"/>
      <c r="C72" s="608" t="s">
        <v>327</v>
      </c>
      <c r="D72" s="390"/>
      <c r="E72" s="491">
        <v>-46099.12</v>
      </c>
      <c r="F72" s="583">
        <f t="shared" si="2"/>
        <v>32134.939999999995</v>
      </c>
    </row>
    <row r="73" spans="1:8" s="379" customFormat="1">
      <c r="A73" s="607">
        <v>44224</v>
      </c>
      <c r="B73" s="390"/>
      <c r="C73" s="608" t="s">
        <v>328</v>
      </c>
      <c r="D73" s="390"/>
      <c r="E73" s="491">
        <v>-9345.9</v>
      </c>
      <c r="F73" s="583">
        <f t="shared" si="2"/>
        <v>22789.039999999994</v>
      </c>
    </row>
    <row r="74" spans="1:8" s="379" customFormat="1">
      <c r="A74" s="607">
        <v>44224</v>
      </c>
      <c r="B74" s="390"/>
      <c r="C74" s="608" t="s">
        <v>329</v>
      </c>
      <c r="D74" s="390"/>
      <c r="E74" s="491">
        <v>-21281.32</v>
      </c>
      <c r="F74" s="583">
        <f t="shared" si="2"/>
        <v>1507.7199999999939</v>
      </c>
      <c r="H74" s="404"/>
    </row>
    <row r="75" spans="1:8" s="379" customFormat="1">
      <c r="A75" s="607">
        <v>44232</v>
      </c>
      <c r="B75" s="390"/>
      <c r="C75" s="608" t="s">
        <v>366</v>
      </c>
      <c r="D75" s="390"/>
      <c r="E75" s="491">
        <v>13307.58</v>
      </c>
      <c r="F75" s="583">
        <f t="shared" si="2"/>
        <v>14815.299999999994</v>
      </c>
      <c r="H75" s="692"/>
    </row>
    <row r="76" spans="1:8" s="379" customFormat="1">
      <c r="A76" s="607">
        <v>44260</v>
      </c>
      <c r="B76" s="390"/>
      <c r="C76" s="608" t="s">
        <v>367</v>
      </c>
      <c r="D76" s="390"/>
      <c r="E76" s="491">
        <v>13307.58</v>
      </c>
      <c r="F76" s="583">
        <f t="shared" si="2"/>
        <v>28122.879999999994</v>
      </c>
    </row>
    <row r="77" spans="1:8" s="379" customFormat="1">
      <c r="A77" s="607">
        <v>44291</v>
      </c>
      <c r="B77" s="390"/>
      <c r="C77" s="608" t="s">
        <v>368</v>
      </c>
      <c r="D77" s="390"/>
      <c r="E77" s="491">
        <v>12787.73</v>
      </c>
      <c r="F77" s="583">
        <f t="shared" si="2"/>
        <v>40910.609999999993</v>
      </c>
    </row>
    <row r="78" spans="1:8" s="379" customFormat="1">
      <c r="A78" s="607">
        <v>44321</v>
      </c>
      <c r="B78" s="390"/>
      <c r="C78" s="608" t="s">
        <v>369</v>
      </c>
      <c r="D78" s="390"/>
      <c r="E78" s="491">
        <v>12787.73</v>
      </c>
      <c r="F78" s="583">
        <f t="shared" si="2"/>
        <v>53698.34</v>
      </c>
    </row>
    <row r="79" spans="1:8" s="379" customFormat="1">
      <c r="A79" s="607">
        <v>44351</v>
      </c>
      <c r="B79" s="390"/>
      <c r="C79" s="608" t="s">
        <v>370</v>
      </c>
      <c r="D79" s="390"/>
      <c r="E79" s="491">
        <v>12787.73</v>
      </c>
      <c r="F79" s="583">
        <f t="shared" si="2"/>
        <v>66486.069999999992</v>
      </c>
    </row>
    <row r="80" spans="1:8" s="379" customFormat="1">
      <c r="A80" s="607">
        <v>44379</v>
      </c>
      <c r="B80" s="390"/>
      <c r="C80" s="608" t="s">
        <v>371</v>
      </c>
      <c r="D80" s="390"/>
      <c r="E80" s="491">
        <v>12787.73</v>
      </c>
      <c r="F80" s="583">
        <f t="shared" si="2"/>
        <v>79273.799999999988</v>
      </c>
    </row>
    <row r="81" spans="1:6" s="379" customFormat="1">
      <c r="A81" s="607">
        <v>44439</v>
      </c>
      <c r="B81" s="390"/>
      <c r="C81" s="608" t="s">
        <v>327</v>
      </c>
      <c r="D81" s="390"/>
      <c r="E81" s="491">
        <v>-42669.89</v>
      </c>
      <c r="F81" s="583">
        <f t="shared" si="2"/>
        <v>36603.909999999989</v>
      </c>
    </row>
    <row r="82" spans="1:6" s="379" customFormat="1">
      <c r="A82" s="607">
        <v>44439</v>
      </c>
      <c r="B82" s="390"/>
      <c r="C82" s="608" t="s">
        <v>328</v>
      </c>
      <c r="D82" s="390"/>
      <c r="E82" s="491">
        <v>-19626.810000000001</v>
      </c>
      <c r="F82" s="583">
        <f t="shared" si="2"/>
        <v>16977.099999999988</v>
      </c>
    </row>
    <row r="83" spans="1:6" s="379" customFormat="1">
      <c r="A83" s="607">
        <v>44439</v>
      </c>
      <c r="B83" s="390"/>
      <c r="C83" s="608" t="s">
        <v>329</v>
      </c>
      <c r="D83" s="390"/>
      <c r="E83" s="491">
        <v>-8669.57</v>
      </c>
      <c r="F83" s="583">
        <f t="shared" si="2"/>
        <v>8307.5299999999879</v>
      </c>
    </row>
    <row r="84" spans="1:6" s="379" customFormat="1">
      <c r="A84" s="607">
        <v>44413</v>
      </c>
      <c r="B84" s="390"/>
      <c r="C84" s="608" t="s">
        <v>372</v>
      </c>
      <c r="D84" s="390"/>
      <c r="E84" s="491">
        <v>12787.73</v>
      </c>
      <c r="F84" s="583">
        <f t="shared" si="2"/>
        <v>21095.259999999987</v>
      </c>
    </row>
    <row r="85" spans="1:6" s="379" customFormat="1">
      <c r="A85" s="607">
        <v>44442</v>
      </c>
      <c r="B85" s="390"/>
      <c r="C85" s="608" t="s">
        <v>373</v>
      </c>
      <c r="D85" s="390"/>
      <c r="E85" s="491">
        <v>10989.14</v>
      </c>
      <c r="F85" s="583">
        <f t="shared" si="2"/>
        <v>32084.399999999987</v>
      </c>
    </row>
    <row r="86" spans="1:6" s="379" customFormat="1">
      <c r="A86" s="607">
        <v>44474</v>
      </c>
      <c r="B86" s="390"/>
      <c r="C86" s="608" t="s">
        <v>374</v>
      </c>
      <c r="D86" s="390"/>
      <c r="E86" s="491">
        <v>10989.14</v>
      </c>
      <c r="F86" s="583">
        <f t="shared" si="2"/>
        <v>43073.539999999986</v>
      </c>
    </row>
    <row r="87" spans="1:6" s="379" customFormat="1">
      <c r="A87" s="607">
        <v>44505</v>
      </c>
      <c r="B87" s="390"/>
      <c r="C87" s="608" t="s">
        <v>375</v>
      </c>
      <c r="D87" s="390"/>
      <c r="E87" s="491">
        <v>10989.14</v>
      </c>
      <c r="F87" s="583">
        <f t="shared" si="2"/>
        <v>54062.679999999986</v>
      </c>
    </row>
    <row r="88" spans="1:6" s="379" customFormat="1">
      <c r="A88" s="607">
        <v>44900</v>
      </c>
      <c r="B88" s="390"/>
      <c r="C88" s="608" t="s">
        <v>376</v>
      </c>
      <c r="D88" s="390"/>
      <c r="E88" s="491">
        <v>10989.14</v>
      </c>
      <c r="F88" s="583">
        <f t="shared" si="2"/>
        <v>65051.819999999985</v>
      </c>
    </row>
    <row r="89" spans="1:6" s="379" customFormat="1">
      <c r="A89" s="607">
        <v>44583</v>
      </c>
      <c r="B89" s="390"/>
      <c r="C89" s="608" t="s">
        <v>377</v>
      </c>
      <c r="D89" s="390"/>
      <c r="E89" s="491">
        <v>10989.14</v>
      </c>
      <c r="F89" s="583">
        <f t="shared" si="2"/>
        <v>76040.959999999992</v>
      </c>
    </row>
    <row r="90" spans="1:6" s="379" customFormat="1">
      <c r="A90" s="607">
        <v>44592</v>
      </c>
      <c r="B90" s="390"/>
      <c r="C90" s="608" t="s">
        <v>327</v>
      </c>
      <c r="D90" s="390"/>
      <c r="E90" s="491">
        <v>-42669.88</v>
      </c>
      <c r="F90" s="583">
        <f t="shared" si="2"/>
        <v>33371.079999999994</v>
      </c>
    </row>
    <row r="91" spans="1:6" s="379" customFormat="1">
      <c r="A91" s="607">
        <v>44592</v>
      </c>
      <c r="B91" s="390"/>
      <c r="C91" s="608" t="s">
        <v>328</v>
      </c>
      <c r="D91" s="390"/>
      <c r="E91" s="491">
        <v>-19626.8</v>
      </c>
      <c r="F91" s="583">
        <f t="shared" si="2"/>
        <v>13744.279999999995</v>
      </c>
    </row>
    <row r="92" spans="1:6" s="379" customFormat="1">
      <c r="A92" s="607">
        <v>44592</v>
      </c>
      <c r="B92" s="390"/>
      <c r="C92" s="608" t="s">
        <v>329</v>
      </c>
      <c r="D92" s="390"/>
      <c r="E92" s="491">
        <v>-8669.5499999999993</v>
      </c>
      <c r="F92" s="583">
        <f t="shared" si="2"/>
        <v>5074.7299999999959</v>
      </c>
    </row>
    <row r="93" spans="1:6" s="379" customFormat="1">
      <c r="A93" s="607">
        <v>44620</v>
      </c>
      <c r="B93" s="390"/>
      <c r="C93" s="608" t="s">
        <v>378</v>
      </c>
      <c r="D93" s="390"/>
      <c r="E93" s="491">
        <v>10989.14</v>
      </c>
      <c r="F93" s="583">
        <f t="shared" si="2"/>
        <v>16063.869999999995</v>
      </c>
    </row>
    <row r="94" spans="1:6" s="379" customFormat="1">
      <c r="A94" s="607">
        <v>44651</v>
      </c>
      <c r="B94" s="390"/>
      <c r="C94" s="608" t="s">
        <v>379</v>
      </c>
      <c r="D94" s="390"/>
      <c r="E94" s="491">
        <v>10989.14</v>
      </c>
      <c r="F94" s="583">
        <f t="shared" si="2"/>
        <v>27053.009999999995</v>
      </c>
    </row>
    <row r="95" spans="1:6" s="379" customFormat="1">
      <c r="A95" s="607">
        <v>44681</v>
      </c>
      <c r="B95" s="390"/>
      <c r="C95" s="608" t="s">
        <v>380</v>
      </c>
      <c r="D95" s="390"/>
      <c r="E95" s="491">
        <v>10989.14</v>
      </c>
      <c r="F95" s="583">
        <f t="shared" si="2"/>
        <v>38042.149999999994</v>
      </c>
    </row>
    <row r="96" spans="1:6" s="379" customFormat="1">
      <c r="A96" s="607">
        <v>44712</v>
      </c>
      <c r="B96" s="390"/>
      <c r="C96" s="608" t="s">
        <v>381</v>
      </c>
      <c r="D96" s="390"/>
      <c r="E96" s="491">
        <v>10989.14</v>
      </c>
      <c r="F96" s="583">
        <f t="shared" si="2"/>
        <v>49031.289999999994</v>
      </c>
    </row>
    <row r="97" spans="1:6" s="379" customFormat="1">
      <c r="A97" s="607">
        <v>44742</v>
      </c>
      <c r="B97" s="390"/>
      <c r="C97" s="608" t="s">
        <v>382</v>
      </c>
      <c r="D97" s="390"/>
      <c r="E97" s="491">
        <v>10989.14</v>
      </c>
      <c r="F97" s="583">
        <f t="shared" si="2"/>
        <v>60020.429999999993</v>
      </c>
    </row>
    <row r="98" spans="1:6" s="379" customFormat="1">
      <c r="A98" s="607">
        <v>44747</v>
      </c>
      <c r="B98" s="390"/>
      <c r="C98" s="608" t="s">
        <v>383</v>
      </c>
      <c r="D98" s="390"/>
      <c r="E98" s="491">
        <v>10989.14</v>
      </c>
      <c r="F98" s="583">
        <f t="shared" si="2"/>
        <v>71009.569999999992</v>
      </c>
    </row>
    <row r="99" spans="1:6" s="379" customFormat="1">
      <c r="A99" s="607">
        <v>44762</v>
      </c>
      <c r="B99" s="390"/>
      <c r="C99" s="608" t="s">
        <v>384</v>
      </c>
      <c r="D99" s="390"/>
      <c r="E99" s="491">
        <v>1831.75</v>
      </c>
      <c r="F99" s="583">
        <f t="shared" si="2"/>
        <v>72841.319999999992</v>
      </c>
    </row>
    <row r="100" spans="1:6" s="379" customFormat="1">
      <c r="A100" s="607">
        <v>44762</v>
      </c>
      <c r="B100" s="390"/>
      <c r="C100" s="608" t="s">
        <v>384</v>
      </c>
      <c r="D100" s="390"/>
      <c r="E100" s="491">
        <v>14282.14</v>
      </c>
      <c r="F100" s="583">
        <f t="shared" si="2"/>
        <v>87123.459999999992</v>
      </c>
    </row>
    <row r="101" spans="1:6" s="379" customFormat="1">
      <c r="A101" s="607">
        <v>44763</v>
      </c>
      <c r="B101" s="390"/>
      <c r="C101" s="608" t="s">
        <v>327</v>
      </c>
      <c r="D101" s="390"/>
      <c r="E101" s="491">
        <v>-57695.79</v>
      </c>
      <c r="F101" s="583">
        <f t="shared" si="2"/>
        <v>29427.669999999991</v>
      </c>
    </row>
    <row r="102" spans="1:6" s="379" customFormat="1">
      <c r="A102" s="607">
        <v>44763</v>
      </c>
      <c r="B102" s="390"/>
      <c r="C102" s="608" t="s">
        <v>328</v>
      </c>
      <c r="D102" s="390"/>
      <c r="E102" s="491">
        <v>-12344.81</v>
      </c>
      <c r="F102" s="583">
        <f t="shared" si="2"/>
        <v>17082.859999999993</v>
      </c>
    </row>
    <row r="103" spans="1:6" s="379" customFormat="1">
      <c r="A103" s="607">
        <v>44778</v>
      </c>
      <c r="B103" s="390"/>
      <c r="C103" s="608" t="s">
        <v>385</v>
      </c>
      <c r="D103" s="390"/>
      <c r="E103" s="491">
        <v>10989.14</v>
      </c>
      <c r="F103" s="583">
        <f t="shared" si="2"/>
        <v>28071.999999999993</v>
      </c>
    </row>
    <row r="104" spans="1:6" s="379" customFormat="1">
      <c r="A104" s="607">
        <v>44778</v>
      </c>
      <c r="B104" s="390"/>
      <c r="C104" s="608" t="s">
        <v>329</v>
      </c>
      <c r="D104" s="390"/>
      <c r="E104" s="491">
        <v>-26240.25</v>
      </c>
      <c r="F104" s="583">
        <f t="shared" si="2"/>
        <v>1831.7499999999927</v>
      </c>
    </row>
    <row r="105" spans="1:6" s="379" customFormat="1">
      <c r="A105" s="607">
        <v>44806</v>
      </c>
      <c r="B105" s="390"/>
      <c r="C105" s="608" t="s">
        <v>386</v>
      </c>
      <c r="D105" s="390"/>
      <c r="E105" s="491">
        <v>10989.14</v>
      </c>
      <c r="F105" s="583">
        <f t="shared" si="2"/>
        <v>12820.889999999992</v>
      </c>
    </row>
    <row r="106" spans="1:6" s="379" customFormat="1">
      <c r="A106" s="607">
        <v>44839</v>
      </c>
      <c r="B106" s="390"/>
      <c r="C106" s="608" t="s">
        <v>387</v>
      </c>
      <c r="D106" s="390"/>
      <c r="E106" s="491">
        <v>24436.92</v>
      </c>
      <c r="F106" s="583">
        <f t="shared" si="2"/>
        <v>37257.80999999999</v>
      </c>
    </row>
    <row r="107" spans="1:6" s="379" customFormat="1">
      <c r="A107" s="607">
        <v>44867</v>
      </c>
      <c r="B107" s="390"/>
      <c r="C107" s="608" t="s">
        <v>388</v>
      </c>
      <c r="D107" s="390"/>
      <c r="E107" s="491">
        <v>24436.92</v>
      </c>
      <c r="F107" s="583">
        <f t="shared" si="2"/>
        <v>61694.729999999989</v>
      </c>
    </row>
    <row r="108" spans="1:6" s="379" customFormat="1">
      <c r="A108" s="607">
        <v>44897</v>
      </c>
      <c r="B108" s="390"/>
      <c r="C108" s="608" t="s">
        <v>389</v>
      </c>
      <c r="D108" s="390"/>
      <c r="E108" s="491">
        <v>24436.92</v>
      </c>
      <c r="F108" s="583">
        <f t="shared" si="2"/>
        <v>86131.65</v>
      </c>
    </row>
    <row r="109" spans="1:6" s="379" customFormat="1">
      <c r="A109" s="607">
        <v>44931</v>
      </c>
      <c r="B109" s="390"/>
      <c r="C109" s="608" t="s">
        <v>390</v>
      </c>
      <c r="D109" s="390"/>
      <c r="E109" s="491">
        <v>24436.92</v>
      </c>
      <c r="F109" s="583">
        <f t="shared" ref="F109:F116" si="3">F108+E109</f>
        <v>110568.56999999999</v>
      </c>
    </row>
    <row r="110" spans="1:6" s="379" customFormat="1">
      <c r="A110" s="607">
        <v>44960</v>
      </c>
      <c r="B110" s="390"/>
      <c r="C110" s="608" t="s">
        <v>391</v>
      </c>
      <c r="D110" s="390"/>
      <c r="E110" s="491">
        <v>24436.92</v>
      </c>
      <c r="F110" s="583">
        <f t="shared" si="3"/>
        <v>135005.49</v>
      </c>
    </row>
    <row r="111" spans="1:6" s="379" customFormat="1">
      <c r="A111" s="607">
        <v>44960</v>
      </c>
      <c r="B111" s="390"/>
      <c r="C111" s="608" t="s">
        <v>327</v>
      </c>
      <c r="D111" s="390"/>
      <c r="E111" s="491">
        <v>-57695.79</v>
      </c>
      <c r="F111" s="583">
        <f t="shared" si="3"/>
        <v>77309.699999999983</v>
      </c>
    </row>
    <row r="112" spans="1:6" s="379" customFormat="1">
      <c r="A112" s="607">
        <v>44960</v>
      </c>
      <c r="B112" s="390"/>
      <c r="C112" s="608" t="s">
        <v>328</v>
      </c>
      <c r="D112" s="390"/>
      <c r="E112" s="491">
        <v>-12344.79</v>
      </c>
      <c r="F112" s="583">
        <f t="shared" si="3"/>
        <v>64964.909999999982</v>
      </c>
    </row>
    <row r="113" spans="1:8" s="379" customFormat="1">
      <c r="A113" s="607">
        <v>44960</v>
      </c>
      <c r="B113" s="390"/>
      <c r="C113" s="608" t="s">
        <v>329</v>
      </c>
      <c r="D113" s="390"/>
      <c r="E113" s="491">
        <v>-26240.240000000002</v>
      </c>
      <c r="F113" s="583">
        <f t="shared" si="3"/>
        <v>38724.669999999984</v>
      </c>
    </row>
    <row r="114" spans="1:8" s="379" customFormat="1">
      <c r="A114" s="607">
        <v>44988</v>
      </c>
      <c r="B114" s="390"/>
      <c r="C114" s="608" t="s">
        <v>392</v>
      </c>
      <c r="D114" s="390"/>
      <c r="E114" s="491">
        <v>16046.81</v>
      </c>
      <c r="F114" s="583">
        <f t="shared" si="3"/>
        <v>54771.479999999981</v>
      </c>
    </row>
    <row r="115" spans="1:8" s="379" customFormat="1">
      <c r="A115" s="607">
        <v>45021</v>
      </c>
      <c r="B115" s="390"/>
      <c r="C115" s="608" t="s">
        <v>393</v>
      </c>
      <c r="D115" s="390"/>
      <c r="E115" s="491">
        <v>16046.81</v>
      </c>
      <c r="F115" s="583">
        <f t="shared" si="3"/>
        <v>70818.289999999979</v>
      </c>
    </row>
    <row r="116" spans="1:8" s="379" customFormat="1">
      <c r="A116" s="607">
        <v>45051</v>
      </c>
      <c r="B116" s="390"/>
      <c r="C116" s="608" t="s">
        <v>394</v>
      </c>
      <c r="D116" s="390"/>
      <c r="E116" s="491">
        <v>16046.81</v>
      </c>
      <c r="F116" s="583">
        <f t="shared" si="3"/>
        <v>86865.099999999977</v>
      </c>
    </row>
    <row r="117" spans="1:8" s="379" customFormat="1">
      <c r="A117" s="607">
        <v>45082</v>
      </c>
      <c r="B117" s="390"/>
      <c r="C117" s="608" t="s">
        <v>395</v>
      </c>
      <c r="D117" s="390"/>
      <c r="E117" s="491">
        <v>16046.81</v>
      </c>
      <c r="F117" s="583">
        <f t="shared" ref="F117:F122" si="4">F116+E117</f>
        <v>102911.90999999997</v>
      </c>
    </row>
    <row r="118" spans="1:8" s="379" customFormat="1">
      <c r="A118" s="607">
        <v>45112</v>
      </c>
      <c r="B118" s="390"/>
      <c r="C118" s="608" t="s">
        <v>396</v>
      </c>
      <c r="D118" s="390"/>
      <c r="E118" s="491">
        <v>16046.81</v>
      </c>
      <c r="F118" s="583">
        <f t="shared" si="4"/>
        <v>118958.71999999997</v>
      </c>
    </row>
    <row r="119" spans="1:8" s="379" customFormat="1">
      <c r="A119" s="607">
        <v>45131</v>
      </c>
      <c r="B119" s="390"/>
      <c r="C119" s="608" t="s">
        <v>327</v>
      </c>
      <c r="D119" s="390"/>
      <c r="E119" s="491">
        <v>-57695.79</v>
      </c>
      <c r="F119" s="583">
        <f t="shared" si="4"/>
        <v>61262.929999999971</v>
      </c>
    </row>
    <row r="120" spans="1:8" s="379" customFormat="1">
      <c r="A120" s="607">
        <v>45131</v>
      </c>
      <c r="B120" s="390"/>
      <c r="C120" s="608" t="s">
        <v>329</v>
      </c>
      <c r="D120" s="390"/>
      <c r="E120" s="491">
        <v>-26240.25</v>
      </c>
      <c r="F120" s="583">
        <f t="shared" si="4"/>
        <v>35022.679999999971</v>
      </c>
    </row>
    <row r="121" spans="1:8" s="379" customFormat="1">
      <c r="A121" s="607">
        <v>45131</v>
      </c>
      <c r="B121" s="390"/>
      <c r="C121" s="608" t="s">
        <v>328</v>
      </c>
      <c r="D121" s="390"/>
      <c r="E121" s="491">
        <v>-12344.81</v>
      </c>
      <c r="F121" s="583">
        <f t="shared" si="4"/>
        <v>22677.869999999974</v>
      </c>
    </row>
    <row r="122" spans="1:8" s="379" customFormat="1">
      <c r="A122" s="607">
        <v>45142</v>
      </c>
      <c r="B122" s="390"/>
      <c r="C122" s="608" t="s">
        <v>397</v>
      </c>
      <c r="D122" s="390"/>
      <c r="E122" s="491">
        <v>16046.81</v>
      </c>
      <c r="F122" s="583">
        <f t="shared" si="4"/>
        <v>38724.679999999971</v>
      </c>
      <c r="G122" s="198"/>
      <c r="H122" s="392"/>
    </row>
    <row r="123" spans="1:8" s="379" customFormat="1">
      <c r="A123" s="607">
        <v>45174</v>
      </c>
      <c r="B123" s="390"/>
      <c r="C123" s="608" t="s">
        <v>398</v>
      </c>
      <c r="D123" s="390"/>
      <c r="E123" s="491">
        <v>15658.43</v>
      </c>
      <c r="F123" s="583">
        <f>F122+E123</f>
        <v>54383.109999999971</v>
      </c>
      <c r="G123" s="198"/>
      <c r="H123" s="392"/>
    </row>
    <row r="124" spans="1:8" s="379" customFormat="1">
      <c r="A124" s="607">
        <v>45204</v>
      </c>
      <c r="B124" s="390"/>
      <c r="C124" s="608" t="s">
        <v>399</v>
      </c>
      <c r="D124" s="390"/>
      <c r="E124" s="491">
        <v>15658.43</v>
      </c>
      <c r="F124" s="583">
        <f>F123+E124</f>
        <v>70041.539999999979</v>
      </c>
      <c r="G124" s="198"/>
      <c r="H124" s="392"/>
    </row>
    <row r="125" spans="1:8" s="379" customFormat="1">
      <c r="A125" s="607">
        <v>45233</v>
      </c>
      <c r="B125" s="390"/>
      <c r="C125" s="608" t="s">
        <v>400</v>
      </c>
      <c r="D125" s="390"/>
      <c r="E125" s="491">
        <v>15658.43</v>
      </c>
      <c r="F125" s="583">
        <f>F124+E125</f>
        <v>85699.969999999972</v>
      </c>
      <c r="G125" s="198"/>
      <c r="H125" s="392"/>
    </row>
    <row r="126" spans="1:8" s="379" customFormat="1">
      <c r="A126" s="724">
        <v>45265</v>
      </c>
      <c r="B126" s="390"/>
      <c r="C126" t="s">
        <v>401</v>
      </c>
      <c r="D126" s="390"/>
      <c r="E126" s="377">
        <v>15658.43</v>
      </c>
      <c r="F126" s="583">
        <f>F125+E126</f>
        <v>101358.39999999997</v>
      </c>
      <c r="G126" s="198"/>
      <c r="H126" s="392"/>
    </row>
    <row r="127" spans="1:8" s="379" customFormat="1">
      <c r="A127" s="724">
        <v>45296</v>
      </c>
      <c r="B127" s="390"/>
      <c r="C127" t="s">
        <v>402</v>
      </c>
      <c r="D127" s="390"/>
      <c r="E127" s="377">
        <v>15658.43</v>
      </c>
      <c r="F127" s="583">
        <f>F126+E127</f>
        <v>117016.82999999996</v>
      </c>
      <c r="G127" s="198"/>
      <c r="H127" s="392"/>
    </row>
    <row r="128" spans="1:8" s="379" customFormat="1">
      <c r="A128" s="724">
        <v>45327</v>
      </c>
      <c r="B128" s="390"/>
      <c r="C128" s="333" t="s">
        <v>403</v>
      </c>
      <c r="D128" s="390"/>
      <c r="E128" s="377">
        <v>15658.43</v>
      </c>
      <c r="F128" s="583">
        <f t="shared" ref="F128:F141" si="5">F127+E128</f>
        <v>132675.25999999995</v>
      </c>
      <c r="G128" s="198"/>
      <c r="H128" s="392"/>
    </row>
    <row r="129" spans="1:8" s="379" customFormat="1">
      <c r="A129" s="729">
        <v>45325</v>
      </c>
      <c r="B129" s="711"/>
      <c r="C129" s="730" t="s">
        <v>327</v>
      </c>
      <c r="D129" s="390"/>
      <c r="E129" s="731">
        <v>-57695.79</v>
      </c>
      <c r="F129" s="583">
        <f t="shared" si="5"/>
        <v>74979.469999999943</v>
      </c>
      <c r="G129" s="198"/>
      <c r="H129" s="392"/>
    </row>
    <row r="130" spans="1:8" s="379" customFormat="1">
      <c r="A130" s="729">
        <v>45325</v>
      </c>
      <c r="B130" s="711"/>
      <c r="C130" s="730" t="s">
        <v>328</v>
      </c>
      <c r="D130" s="390"/>
      <c r="E130" s="731">
        <v>-12344.79</v>
      </c>
      <c r="F130" s="583">
        <f t="shared" si="5"/>
        <v>62634.679999999942</v>
      </c>
      <c r="G130" s="198"/>
      <c r="H130" s="392"/>
    </row>
    <row r="131" spans="1:8" s="379" customFormat="1">
      <c r="A131" s="729">
        <v>45325</v>
      </c>
      <c r="B131" s="711"/>
      <c r="C131" s="730" t="s">
        <v>329</v>
      </c>
      <c r="D131" s="390"/>
      <c r="E131" s="731">
        <v>-26240.240000000002</v>
      </c>
      <c r="F131" s="583">
        <f t="shared" si="5"/>
        <v>36394.439999999944</v>
      </c>
      <c r="G131" s="198"/>
      <c r="H131" s="392"/>
    </row>
    <row r="132" spans="1:8" s="379" customFormat="1">
      <c r="A132" s="724">
        <v>45356</v>
      </c>
      <c r="B132" s="390"/>
      <c r="C132" t="s">
        <v>404</v>
      </c>
      <c r="D132" s="390"/>
      <c r="E132" s="732">
        <v>15658.43</v>
      </c>
      <c r="F132" s="583">
        <f t="shared" si="5"/>
        <v>52052.869999999944</v>
      </c>
      <c r="G132" s="198"/>
      <c r="H132" s="392"/>
    </row>
    <row r="133" spans="1:8" s="379" customFormat="1">
      <c r="A133" s="724">
        <v>45408</v>
      </c>
      <c r="B133" s="390"/>
      <c r="C133" t="s">
        <v>405</v>
      </c>
      <c r="D133" s="390"/>
      <c r="E133" s="732">
        <v>15658.43</v>
      </c>
      <c r="F133" s="583">
        <f t="shared" si="5"/>
        <v>67711.299999999945</v>
      </c>
    </row>
    <row r="134" spans="1:8" s="379" customFormat="1">
      <c r="A134" s="724">
        <v>45415</v>
      </c>
      <c r="B134" s="390"/>
      <c r="C134" t="s">
        <v>406</v>
      </c>
      <c r="D134" s="390"/>
      <c r="E134" s="732">
        <v>15658.43</v>
      </c>
      <c r="F134" s="583">
        <f>F133+E134</f>
        <v>83369.729999999952</v>
      </c>
    </row>
    <row r="135" spans="1:8" s="379" customFormat="1">
      <c r="A135" s="724">
        <v>45448</v>
      </c>
      <c r="B135" s="390"/>
      <c r="C135" t="s">
        <v>407</v>
      </c>
      <c r="D135" s="390"/>
      <c r="E135" s="732">
        <v>15658.43</v>
      </c>
      <c r="F135" s="583">
        <f t="shared" si="5"/>
        <v>99028.159999999945</v>
      </c>
    </row>
    <row r="136" spans="1:8" s="379" customFormat="1">
      <c r="A136" s="724">
        <v>45478</v>
      </c>
      <c r="B136" s="390"/>
      <c r="C136" t="s">
        <v>408</v>
      </c>
      <c r="D136" s="390"/>
      <c r="E136" s="732">
        <v>15658.43</v>
      </c>
      <c r="F136" s="583">
        <f t="shared" si="5"/>
        <v>114686.58999999994</v>
      </c>
    </row>
    <row r="137" spans="1:8" s="379" customFormat="1">
      <c r="A137" s="724">
        <v>45509</v>
      </c>
      <c r="B137" s="390"/>
      <c r="C137" t="s">
        <v>409</v>
      </c>
      <c r="D137" s="390"/>
      <c r="E137" s="732">
        <v>15658.43</v>
      </c>
      <c r="F137" s="583">
        <f t="shared" si="5"/>
        <v>130345.01999999993</v>
      </c>
    </row>
    <row r="138" spans="1:8" s="379" customFormat="1">
      <c r="A138" s="729">
        <v>45497</v>
      </c>
      <c r="B138" s="711"/>
      <c r="C138" s="632" t="s">
        <v>410</v>
      </c>
      <c r="D138" s="711"/>
      <c r="E138" s="753">
        <v>-57695.79</v>
      </c>
      <c r="F138" s="583">
        <f t="shared" si="5"/>
        <v>72649.229999999923</v>
      </c>
      <c r="H138" s="379" t="s">
        <v>411</v>
      </c>
    </row>
    <row r="139" spans="1:8" s="379" customFormat="1">
      <c r="A139" s="729">
        <v>45497</v>
      </c>
      <c r="B139" s="711"/>
      <c r="C139" s="632" t="s">
        <v>412</v>
      </c>
      <c r="D139" s="711"/>
      <c r="E139" s="753">
        <v>-12344.81</v>
      </c>
      <c r="F139" s="583">
        <f t="shared" si="5"/>
        <v>60304.419999999925</v>
      </c>
    </row>
    <row r="140" spans="1:8" s="379" customFormat="1">
      <c r="A140" s="729">
        <v>45497</v>
      </c>
      <c r="B140" s="711"/>
      <c r="C140" s="632" t="s">
        <v>413</v>
      </c>
      <c r="D140" s="711"/>
      <c r="E140" s="753">
        <v>-26240.25</v>
      </c>
      <c r="F140" s="583">
        <f t="shared" si="5"/>
        <v>34064.169999999925</v>
      </c>
    </row>
    <row r="141" spans="1:8" s="379" customFormat="1">
      <c r="A141" s="724" t="s">
        <v>414</v>
      </c>
      <c r="B141" s="390"/>
      <c r="C141" t="s">
        <v>415</v>
      </c>
      <c r="D141" s="390"/>
      <c r="E141" s="732">
        <v>-34064.17</v>
      </c>
      <c r="F141" s="583">
        <f t="shared" si="5"/>
        <v>-7.2759576141834259E-11</v>
      </c>
    </row>
    <row r="142" spans="1:8" s="379" customFormat="1">
      <c r="A142" s="607"/>
      <c r="B142" s="390"/>
      <c r="C142" s="608"/>
      <c r="D142" s="390"/>
      <c r="F142" s="583"/>
    </row>
    <row r="143" spans="1:8" s="400" customFormat="1" ht="13.5" thickBot="1">
      <c r="A143" s="396"/>
      <c r="B143" s="397"/>
      <c r="C143" s="397" t="s">
        <v>306</v>
      </c>
      <c r="D143" s="397"/>
      <c r="E143" s="398"/>
      <c r="F143" s="609">
        <f>F141</f>
        <v>-7.2759576141834259E-11</v>
      </c>
    </row>
    <row r="144" spans="1:8" s="379" customFormat="1">
      <c r="A144" s="390"/>
      <c r="B144" s="390"/>
      <c r="C144" s="390"/>
      <c r="D144" s="390"/>
      <c r="E144" s="395"/>
      <c r="F144" s="390"/>
    </row>
    <row r="145" spans="2:3" s="379" customFormat="1">
      <c r="B145" s="401"/>
      <c r="C145" s="391"/>
    </row>
    <row r="146" spans="2:3" s="379" customFormat="1">
      <c r="C146" s="391"/>
    </row>
    <row r="147" spans="2:3" s="379" customFormat="1"/>
    <row r="148" spans="2:3">
      <c r="B148" s="403"/>
      <c r="C148" s="379"/>
    </row>
    <row r="149" spans="2:3">
      <c r="C149" s="379"/>
    </row>
    <row r="150" spans="2:3">
      <c r="C150" s="379"/>
    </row>
    <row r="151" spans="2:3">
      <c r="C151" s="379"/>
    </row>
    <row r="152" spans="2:3">
      <c r="C152" s="379"/>
    </row>
    <row r="153" spans="2:3">
      <c r="C153" s="379"/>
    </row>
    <row r="154" spans="2:3">
      <c r="C154" s="379"/>
    </row>
    <row r="155" spans="2:3">
      <c r="C155" s="379"/>
    </row>
    <row r="156" spans="2:3">
      <c r="C156" s="379"/>
    </row>
    <row r="157" spans="2:3">
      <c r="C157" s="379"/>
    </row>
  </sheetData>
  <mergeCells count="3">
    <mergeCell ref="A1:F1"/>
    <mergeCell ref="A2:F2"/>
    <mergeCell ref="A3:F3"/>
  </mergeCells>
  <printOptions horizontalCentered="1"/>
  <pageMargins left="0.75" right="0.75" top="1" bottom="1" header="0.5" footer="0.5"/>
  <pageSetup scale="90" orientation="portrait"/>
  <headerFooter alignWithMargins="0">
    <oddFooter>&amp;R&amp;F
&amp;D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>
    <pageSetUpPr autoPageBreaks="0" fitToPage="1"/>
  </sheetPr>
  <dimension ref="A1:K55"/>
  <sheetViews>
    <sheetView workbookViewId="0">
      <selection activeCell="H19" sqref="H19"/>
    </sheetView>
  </sheetViews>
  <sheetFormatPr defaultColWidth="9.42578125" defaultRowHeight="12.75"/>
  <cols>
    <col min="1" max="1" width="18.5703125" style="402" customWidth="1"/>
    <col min="2" max="2" width="6.5703125" style="402" customWidth="1"/>
    <col min="3" max="3" width="42.5703125" style="402" customWidth="1"/>
    <col min="4" max="4" width="0.5703125" style="402" hidden="1" customWidth="1"/>
    <col min="5" max="5" width="18.5703125" style="402" customWidth="1"/>
    <col min="6" max="6" width="21.5703125" style="402" customWidth="1"/>
    <col min="7" max="7" width="9.42578125" style="402"/>
    <col min="8" max="8" width="12.42578125" style="402" bestFit="1" customWidth="1"/>
    <col min="9" max="9" width="11.42578125" style="402" bestFit="1" customWidth="1"/>
    <col min="10" max="10" width="14.42578125" style="402" bestFit="1" customWidth="1"/>
    <col min="11" max="11" width="13.42578125" style="402" customWidth="1"/>
    <col min="12" max="16384" width="9.42578125" style="402"/>
  </cols>
  <sheetData>
    <row r="1" spans="1:11" s="379" customFormat="1" ht="18">
      <c r="A1" s="1179" t="str">
        <f>'Review Comments'!B9</f>
        <v>COCONUT GROVE RETAIL XIII, LLC</v>
      </c>
      <c r="B1" s="1180"/>
      <c r="C1" s="1180"/>
      <c r="D1" s="1180"/>
    </row>
    <row r="2" spans="1:11" s="379" customFormat="1" ht="18">
      <c r="A2" s="1182" t="s">
        <v>416</v>
      </c>
      <c r="B2" s="1183"/>
      <c r="C2" s="1183"/>
      <c r="D2" s="1183"/>
    </row>
    <row r="3" spans="1:11" s="379" customFormat="1" ht="18.75" thickBot="1">
      <c r="A3" s="1185" t="str">
        <f>'Review Comments'!B11</f>
        <v>FOR THE MONTH 07/31/2026</v>
      </c>
      <c r="B3" s="1186"/>
      <c r="C3" s="1186"/>
      <c r="D3" s="1186"/>
    </row>
    <row r="4" spans="1:11" s="379" customFormat="1"/>
    <row r="5" spans="1:11" s="379" customFormat="1"/>
    <row r="6" spans="1:11" s="379" customFormat="1"/>
    <row r="7" spans="1:11" s="379" customFormat="1" ht="13.5" thickBot="1"/>
    <row r="8" spans="1:11" s="379" customFormat="1">
      <c r="A8" s="380"/>
      <c r="B8" s="381"/>
      <c r="C8" s="381"/>
      <c r="D8" s="381"/>
      <c r="E8" s="381"/>
      <c r="F8" s="382"/>
    </row>
    <row r="9" spans="1:11" s="379" customFormat="1" ht="13.5" thickBot="1">
      <c r="A9" s="383" t="s">
        <v>303</v>
      </c>
      <c r="B9" s="384"/>
      <c r="C9" s="384" t="s">
        <v>10</v>
      </c>
      <c r="D9" s="384"/>
      <c r="E9" s="384" t="s">
        <v>11</v>
      </c>
      <c r="F9" s="385" t="s">
        <v>105</v>
      </c>
      <c r="G9" s="386"/>
      <c r="H9" s="386"/>
      <c r="I9" s="386"/>
    </row>
    <row r="10" spans="1:11" s="379" customFormat="1">
      <c r="A10" s="387"/>
      <c r="F10" s="388"/>
      <c r="H10" s="379" t="s">
        <v>417</v>
      </c>
      <c r="I10" s="404">
        <f>151900.41</f>
        <v>151900.41</v>
      </c>
      <c r="J10" s="404">
        <f>I10+20.78+38.96-24208.19</f>
        <v>127751.95999999999</v>
      </c>
      <c r="K10" s="379" t="s">
        <v>418</v>
      </c>
    </row>
    <row r="11" spans="1:11" s="379" customFormat="1">
      <c r="A11" s="475">
        <v>42719</v>
      </c>
      <c r="B11" s="421"/>
      <c r="C11" s="584" t="s">
        <v>419</v>
      </c>
      <c r="D11" s="390"/>
      <c r="E11" s="395"/>
      <c r="F11" s="551">
        <f>+E11</f>
        <v>0</v>
      </c>
      <c r="H11" s="379" t="s">
        <v>417</v>
      </c>
      <c r="I11" s="404">
        <v>334767.5</v>
      </c>
      <c r="J11" s="592">
        <f>I11+45.79+85.86</f>
        <v>334899.14999999997</v>
      </c>
      <c r="K11" s="379" t="s">
        <v>420</v>
      </c>
    </row>
    <row r="12" spans="1:11" s="379" customFormat="1">
      <c r="A12" s="389"/>
      <c r="B12" s="390"/>
      <c r="C12" s="391"/>
      <c r="D12" s="390"/>
      <c r="E12" s="392"/>
      <c r="F12" s="551"/>
    </row>
    <row r="13" spans="1:11" s="379" customFormat="1">
      <c r="A13" s="389"/>
      <c r="B13" s="390"/>
      <c r="C13" s="391"/>
      <c r="D13" s="390"/>
      <c r="E13" s="392"/>
      <c r="F13" s="551"/>
      <c r="I13" s="379" t="s">
        <v>421</v>
      </c>
      <c r="J13" s="392">
        <f>F34</f>
        <v>0</v>
      </c>
      <c r="K13" s="379" t="s">
        <v>422</v>
      </c>
    </row>
    <row r="14" spans="1:11" s="379" customFormat="1">
      <c r="A14" s="389"/>
      <c r="B14" s="390"/>
      <c r="C14" s="391"/>
      <c r="D14" s="390"/>
      <c r="E14" s="392"/>
      <c r="F14" s="551"/>
      <c r="I14" s="379" t="s">
        <v>423</v>
      </c>
      <c r="J14" s="392">
        <f>'10470'!F65</f>
        <v>0</v>
      </c>
    </row>
    <row r="15" spans="1:11" s="379" customFormat="1">
      <c r="A15" s="389"/>
      <c r="B15" s="390"/>
      <c r="C15" s="391"/>
      <c r="D15" s="390"/>
      <c r="E15" s="392"/>
      <c r="F15" s="551"/>
      <c r="I15" s="379" t="s">
        <v>424</v>
      </c>
      <c r="J15" s="392">
        <f>'10490'!F40</f>
        <v>1.2369127944111824E-10</v>
      </c>
    </row>
    <row r="16" spans="1:11" s="379" customFormat="1">
      <c r="A16" s="389"/>
      <c r="B16" s="390"/>
      <c r="C16" s="391"/>
      <c r="D16" s="390"/>
      <c r="E16" s="392"/>
      <c r="F16" s="551"/>
      <c r="I16" s="379" t="s">
        <v>425</v>
      </c>
      <c r="J16" s="593">
        <f>'10420'!F17</f>
        <v>26408.5</v>
      </c>
    </row>
    <row r="17" spans="1:10" s="379" customFormat="1">
      <c r="A17" s="389"/>
      <c r="B17" s="390"/>
      <c r="C17" s="391"/>
      <c r="D17" s="390"/>
      <c r="E17" s="392"/>
      <c r="F17" s="551"/>
      <c r="J17" s="392"/>
    </row>
    <row r="18" spans="1:10" s="379" customFormat="1">
      <c r="A18" s="389"/>
      <c r="B18" s="390"/>
      <c r="C18" s="391"/>
      <c r="D18" s="390"/>
      <c r="E18" s="392"/>
      <c r="F18" s="551"/>
      <c r="J18" s="392">
        <f>SUM(J13:J17)</f>
        <v>26408.500000000124</v>
      </c>
    </row>
    <row r="19" spans="1:10" s="379" customFormat="1">
      <c r="A19" s="389"/>
      <c r="B19" s="390"/>
      <c r="C19" s="391"/>
      <c r="D19" s="390"/>
      <c r="E19" s="392"/>
      <c r="F19" s="551"/>
      <c r="J19" s="392"/>
    </row>
    <row r="20" spans="1:10" s="379" customFormat="1">
      <c r="A20" s="389"/>
      <c r="B20" s="390"/>
      <c r="C20" s="391"/>
      <c r="D20" s="390"/>
      <c r="E20" s="392"/>
      <c r="F20" s="551"/>
      <c r="J20" s="392"/>
    </row>
    <row r="21" spans="1:10" s="379" customFormat="1">
      <c r="A21" s="389"/>
      <c r="B21" s="390"/>
      <c r="C21" s="391"/>
      <c r="D21" s="390"/>
      <c r="E21" s="392"/>
      <c r="F21" s="551"/>
      <c r="J21" s="392"/>
    </row>
    <row r="22" spans="1:10" s="379" customFormat="1">
      <c r="A22" s="389"/>
      <c r="B22" s="390"/>
      <c r="C22" s="391"/>
      <c r="D22" s="390"/>
      <c r="E22" s="392"/>
      <c r="F22" s="551"/>
      <c r="J22" s="392"/>
    </row>
    <row r="23" spans="1:10" s="379" customFormat="1">
      <c r="A23" s="389"/>
      <c r="B23" s="390"/>
      <c r="C23" s="391"/>
      <c r="D23" s="390"/>
      <c r="E23" s="392"/>
      <c r="F23" s="551"/>
      <c r="J23" s="392"/>
    </row>
    <row r="24" spans="1:10" s="379" customFormat="1">
      <c r="A24" s="389"/>
      <c r="B24" s="390"/>
      <c r="C24" s="391"/>
      <c r="D24" s="390"/>
      <c r="E24" s="392"/>
      <c r="F24" s="551"/>
      <c r="J24" s="392"/>
    </row>
    <row r="25" spans="1:10" s="379" customFormat="1">
      <c r="A25" s="389"/>
      <c r="B25" s="390"/>
      <c r="C25" s="391"/>
      <c r="D25" s="390"/>
      <c r="E25" s="392"/>
      <c r="F25" s="551"/>
      <c r="J25" s="392"/>
    </row>
    <row r="26" spans="1:10" s="379" customFormat="1">
      <c r="A26" s="389"/>
      <c r="B26" s="390"/>
      <c r="C26" s="391"/>
      <c r="D26" s="390"/>
      <c r="E26" s="673"/>
      <c r="F26" s="551"/>
      <c r="J26" s="392"/>
    </row>
    <row r="27" spans="1:10" s="379" customFormat="1">
      <c r="A27" s="389"/>
      <c r="B27" s="390"/>
      <c r="C27" s="391"/>
      <c r="D27" s="390"/>
      <c r="E27" s="673"/>
      <c r="F27" s="551"/>
      <c r="J27" s="392"/>
    </row>
    <row r="28" spans="1:10" s="379" customFormat="1">
      <c r="A28" s="389"/>
      <c r="B28" s="390"/>
      <c r="C28" s="391"/>
      <c r="D28" s="390"/>
      <c r="E28" s="673"/>
      <c r="F28" s="551"/>
      <c r="J28" s="392"/>
    </row>
    <row r="29" spans="1:10" s="379" customFormat="1">
      <c r="A29" s="389"/>
      <c r="B29" s="390"/>
      <c r="C29" s="391"/>
      <c r="D29" s="390"/>
      <c r="E29" s="673"/>
      <c r="F29" s="551"/>
      <c r="J29" s="392"/>
    </row>
    <row r="30" spans="1:10" s="379" customFormat="1">
      <c r="A30" s="389"/>
      <c r="B30" s="390"/>
      <c r="C30" s="391"/>
      <c r="D30" s="390"/>
      <c r="E30" s="392"/>
      <c r="F30" s="551"/>
      <c r="J30" s="392"/>
    </row>
    <row r="31" spans="1:10" s="379" customFormat="1">
      <c r="A31" s="389"/>
      <c r="B31" s="390"/>
      <c r="C31" s="391"/>
      <c r="D31" s="390"/>
      <c r="E31" s="392"/>
      <c r="F31" s="551"/>
      <c r="J31" s="392"/>
    </row>
    <row r="32" spans="1:10" s="379" customFormat="1">
      <c r="A32" s="389"/>
      <c r="B32" s="390"/>
      <c r="C32" s="391"/>
      <c r="D32" s="390"/>
      <c r="E32" s="392"/>
      <c r="F32" s="551"/>
      <c r="J32" s="392"/>
    </row>
    <row r="33" spans="1:11" s="379" customFormat="1">
      <c r="A33" s="394"/>
      <c r="B33" s="390"/>
      <c r="C33" s="390"/>
      <c r="D33" s="390"/>
      <c r="E33" s="395"/>
      <c r="F33" s="393"/>
      <c r="J33" s="594">
        <f>SUM(J13:J16)</f>
        <v>26408.500000000124</v>
      </c>
      <c r="K33" s="379" t="s">
        <v>426</v>
      </c>
    </row>
    <row r="34" spans="1:11" s="379" customFormat="1" ht="13.5" thickBot="1">
      <c r="A34" s="396"/>
      <c r="B34" s="397"/>
      <c r="C34" s="397" t="s">
        <v>306</v>
      </c>
      <c r="D34" s="397"/>
      <c r="E34" s="398"/>
      <c r="F34" s="553">
        <f>SUM(F11:F33)</f>
        <v>0</v>
      </c>
    </row>
    <row r="35" spans="1:11" s="400" customFormat="1">
      <c r="A35" s="390"/>
      <c r="B35" s="390"/>
      <c r="D35" s="493"/>
      <c r="E35" s="492"/>
    </row>
    <row r="36" spans="1:11" s="400" customFormat="1">
      <c r="A36" s="390"/>
      <c r="B36" s="390"/>
      <c r="D36" s="493"/>
      <c r="E36" s="492"/>
    </row>
    <row r="37" spans="1:11" s="400" customFormat="1">
      <c r="A37" s="390"/>
      <c r="B37" s="390"/>
      <c r="D37" s="493"/>
      <c r="E37" s="492"/>
    </row>
    <row r="38" spans="1:11" s="400" customFormat="1">
      <c r="A38" s="390"/>
      <c r="B38" s="390"/>
      <c r="D38" s="493"/>
      <c r="E38" s="492"/>
    </row>
    <row r="39" spans="1:11" s="400" customFormat="1">
      <c r="A39" s="390"/>
      <c r="B39" s="390"/>
      <c r="D39" s="493"/>
      <c r="E39" s="492"/>
    </row>
    <row r="40" spans="1:11" s="400" customFormat="1">
      <c r="A40" s="390"/>
      <c r="B40" s="390"/>
      <c r="D40" s="493"/>
    </row>
    <row r="41" spans="1:11" s="379" customFormat="1">
      <c r="A41" s="390"/>
      <c r="B41" s="390"/>
      <c r="C41" s="400"/>
      <c r="D41" s="491"/>
    </row>
    <row r="42" spans="1:11" s="379" customFormat="1">
      <c r="B42" s="401"/>
      <c r="C42" s="497"/>
      <c r="D42" s="497"/>
    </row>
    <row r="43" spans="1:11" s="379" customFormat="1">
      <c r="C43" s="498"/>
      <c r="D43" s="497"/>
    </row>
    <row r="44" spans="1:11" s="379" customFormat="1" hidden="1">
      <c r="A44" s="380"/>
      <c r="B44" s="381"/>
      <c r="C44" s="499"/>
      <c r="D44" s="499"/>
    </row>
    <row r="45" spans="1:11" s="379" customFormat="1" ht="13.5" hidden="1" thickBot="1">
      <c r="A45" s="383" t="s">
        <v>303</v>
      </c>
      <c r="B45" s="384"/>
      <c r="C45" s="500"/>
      <c r="D45" s="500"/>
      <c r="E45" s="386"/>
      <c r="F45" s="386"/>
      <c r="G45" s="386"/>
      <c r="H45" s="386"/>
      <c r="I45" s="386"/>
    </row>
    <row r="46" spans="1:11" s="379" customFormat="1" hidden="1">
      <c r="A46" s="387"/>
      <c r="C46" s="497"/>
      <c r="D46" s="497"/>
    </row>
    <row r="47" spans="1:11" s="379" customFormat="1" hidden="1">
      <c r="A47" s="475"/>
      <c r="B47" s="421"/>
      <c r="C47" s="496"/>
      <c r="D47" s="501"/>
    </row>
    <row r="48" spans="1:11" s="379" customFormat="1" hidden="1">
      <c r="A48" s="428"/>
      <c r="B48" s="390"/>
      <c r="C48" s="496"/>
      <c r="D48" s="502"/>
    </row>
    <row r="49" spans="1:5" s="379" customFormat="1" hidden="1">
      <c r="A49" s="428"/>
      <c r="B49" s="390"/>
      <c r="C49" s="496"/>
      <c r="D49" s="502"/>
    </row>
    <row r="50" spans="1:5" s="379" customFormat="1" hidden="1">
      <c r="A50" s="428"/>
      <c r="B50" s="390"/>
      <c r="C50" s="496"/>
      <c r="D50" s="502"/>
    </row>
    <row r="51" spans="1:5" s="379" customFormat="1" hidden="1">
      <c r="A51" s="394"/>
      <c r="B51" s="390"/>
      <c r="C51" s="496"/>
      <c r="D51" s="502"/>
    </row>
    <row r="52" spans="1:5" s="400" customFormat="1" ht="13.5" hidden="1" thickBot="1">
      <c r="A52" s="396"/>
      <c r="B52" s="397"/>
      <c r="C52" s="503"/>
      <c r="D52" s="504"/>
      <c r="E52" s="400" t="s">
        <v>427</v>
      </c>
    </row>
    <row r="53" spans="1:5">
      <c r="C53" s="505"/>
      <c r="D53" s="506"/>
    </row>
    <row r="54" spans="1:5">
      <c r="C54" s="505"/>
      <c r="D54" s="505"/>
    </row>
    <row r="55" spans="1:5">
      <c r="C55" s="506"/>
      <c r="D55" s="506"/>
    </row>
  </sheetData>
  <mergeCells count="3">
    <mergeCell ref="A1:D1"/>
    <mergeCell ref="A2:D2"/>
    <mergeCell ref="A3:D3"/>
  </mergeCells>
  <printOptions horizontalCentered="1"/>
  <pageMargins left="0.75" right="0.75" top="1" bottom="1" header="0.5" footer="0.5"/>
  <pageSetup scale="69" orientation="portrait"/>
  <headerFooter alignWithMargins="0">
    <oddFooter>&amp;R&amp;F
&amp;D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K192"/>
  <sheetViews>
    <sheetView topLeftCell="A168" zoomScaleNormal="100" workbookViewId="0">
      <selection activeCell="F193" sqref="F193:F194"/>
    </sheetView>
  </sheetViews>
  <sheetFormatPr defaultColWidth="9.42578125" defaultRowHeight="12.75"/>
  <cols>
    <col min="1" max="1" width="12.5703125" style="402" customWidth="1"/>
    <col min="2" max="2" width="2.5703125" style="402" customWidth="1"/>
    <col min="3" max="3" width="41" style="402" customWidth="1"/>
    <col min="4" max="4" width="2.5703125" style="402" customWidth="1"/>
    <col min="5" max="5" width="16.5703125" style="402" customWidth="1"/>
    <col min="6" max="6" width="19.5703125" style="402" customWidth="1"/>
    <col min="7" max="7" width="9.42578125" style="402"/>
    <col min="8" max="8" width="13.42578125" style="402" customWidth="1"/>
    <col min="9" max="16384" width="9.42578125" style="402"/>
  </cols>
  <sheetData>
    <row r="1" spans="1:11" s="379" customFormat="1" ht="18">
      <c r="A1" s="1179" t="str">
        <f>'Review Comments'!B9</f>
        <v>COCONUT GROVE RETAIL XIII, LLC</v>
      </c>
      <c r="B1" s="1180"/>
      <c r="C1" s="1180"/>
      <c r="D1" s="1180"/>
      <c r="E1" s="1180"/>
      <c r="F1" s="1181"/>
    </row>
    <row r="2" spans="1:11" s="379" customFormat="1" ht="18">
      <c r="A2" s="1182" t="s">
        <v>428</v>
      </c>
      <c r="B2" s="1183"/>
      <c r="C2" s="1183"/>
      <c r="D2" s="1183"/>
      <c r="E2" s="1183"/>
      <c r="F2" s="1184"/>
    </row>
    <row r="3" spans="1:11" s="379" customFormat="1" ht="18.75" thickBot="1">
      <c r="A3" s="1185" t="str">
        <f>'Review Comments'!B11</f>
        <v>FOR THE MONTH 07/31/2026</v>
      </c>
      <c r="B3" s="1186"/>
      <c r="C3" s="1186"/>
      <c r="D3" s="1186"/>
      <c r="E3" s="1186"/>
      <c r="F3" s="1187"/>
    </row>
    <row r="4" spans="1:11" s="379" customFormat="1"/>
    <row r="5" spans="1:11" s="379" customFormat="1"/>
    <row r="6" spans="1:11" s="379" customFormat="1"/>
    <row r="7" spans="1:11" s="379" customFormat="1" ht="13.5" thickBot="1"/>
    <row r="8" spans="1:11" s="379" customFormat="1">
      <c r="A8" s="380"/>
      <c r="B8" s="381"/>
      <c r="C8" s="381"/>
      <c r="D8" s="381"/>
      <c r="E8" s="381"/>
      <c r="F8" s="382"/>
    </row>
    <row r="9" spans="1:11" s="379" customFormat="1" ht="26.25" thickBot="1">
      <c r="A9" s="383" t="s">
        <v>303</v>
      </c>
      <c r="B9" s="384"/>
      <c r="C9" s="384" t="s">
        <v>10</v>
      </c>
      <c r="D9" s="384"/>
      <c r="E9" s="384" t="s">
        <v>11</v>
      </c>
      <c r="F9" s="385" t="s">
        <v>105</v>
      </c>
      <c r="G9" s="386"/>
      <c r="H9" s="386"/>
      <c r="I9" s="386"/>
      <c r="J9" s="386"/>
      <c r="K9" s="386"/>
    </row>
    <row r="10" spans="1:11" s="379" customFormat="1">
      <c r="A10" s="387"/>
      <c r="F10" s="388"/>
    </row>
    <row r="11" spans="1:11" s="379" customFormat="1">
      <c r="A11" s="475">
        <v>42978</v>
      </c>
      <c r="B11" s="421"/>
      <c r="C11" s="400" t="s">
        <v>304</v>
      </c>
      <c r="D11" s="390"/>
      <c r="E11" s="395"/>
      <c r="F11" s="583">
        <v>17605.669999999998</v>
      </c>
    </row>
    <row r="12" spans="1:11" s="379" customFormat="1">
      <c r="A12" s="607">
        <v>43038</v>
      </c>
      <c r="B12" s="390"/>
      <c r="C12" s="608" t="s">
        <v>305</v>
      </c>
      <c r="D12" s="390"/>
      <c r="E12" s="491">
        <v>8802.83</v>
      </c>
      <c r="F12" s="583">
        <f t="shared" ref="F12:F29" si="0">F11+E12</f>
        <v>26408.5</v>
      </c>
      <c r="G12" s="400"/>
    </row>
    <row r="13" spans="1:11" s="379" customFormat="1">
      <c r="A13" s="607">
        <v>43068</v>
      </c>
      <c r="B13" s="390"/>
      <c r="C13" s="608" t="s">
        <v>323</v>
      </c>
      <c r="D13" s="390"/>
      <c r="E13" s="491">
        <v>8802.83</v>
      </c>
      <c r="F13" s="583">
        <f t="shared" si="0"/>
        <v>35211.33</v>
      </c>
    </row>
    <row r="14" spans="1:11" s="379" customFormat="1">
      <c r="A14" s="607">
        <v>43098</v>
      </c>
      <c r="B14" s="390"/>
      <c r="C14" s="608" t="s">
        <v>324</v>
      </c>
      <c r="D14" s="390"/>
      <c r="E14" s="491">
        <v>8802.83</v>
      </c>
      <c r="F14" s="583">
        <f t="shared" si="0"/>
        <v>44014.16</v>
      </c>
    </row>
    <row r="15" spans="1:11" s="379" customFormat="1">
      <c r="A15" s="607">
        <v>43117</v>
      </c>
      <c r="B15" s="390"/>
      <c r="C15" s="608" t="s">
        <v>325</v>
      </c>
      <c r="D15" s="390"/>
      <c r="E15" s="491">
        <v>-35211.33</v>
      </c>
      <c r="F15" s="583">
        <f t="shared" si="0"/>
        <v>8802.8300000000017</v>
      </c>
    </row>
    <row r="16" spans="1:11" s="379" customFormat="1">
      <c r="A16" s="607">
        <v>43117</v>
      </c>
      <c r="B16" s="390"/>
      <c r="C16" s="608" t="s">
        <v>325</v>
      </c>
      <c r="D16" s="390"/>
      <c r="E16" s="491">
        <v>8802.83</v>
      </c>
      <c r="F16" s="583">
        <f t="shared" si="0"/>
        <v>17605.660000000003</v>
      </c>
    </row>
    <row r="17" spans="1:6" s="379" customFormat="1">
      <c r="A17" s="607">
        <v>43131</v>
      </c>
      <c r="B17" s="390"/>
      <c r="C17" s="608" t="s">
        <v>429</v>
      </c>
      <c r="D17" s="390"/>
      <c r="E17" s="491">
        <v>-8802.83</v>
      </c>
      <c r="F17" s="583">
        <f t="shared" si="0"/>
        <v>8802.8300000000036</v>
      </c>
    </row>
    <row r="18" spans="1:6" s="379" customFormat="1">
      <c r="A18" s="607">
        <v>43159</v>
      </c>
      <c r="B18" s="390"/>
      <c r="C18" s="608" t="s">
        <v>326</v>
      </c>
      <c r="D18" s="390"/>
      <c r="E18" s="491">
        <v>8802.83</v>
      </c>
      <c r="F18" s="583">
        <f t="shared" si="0"/>
        <v>17605.660000000003</v>
      </c>
    </row>
    <row r="19" spans="1:6" s="379" customFormat="1">
      <c r="A19" s="607">
        <v>43159</v>
      </c>
      <c r="B19" s="390"/>
      <c r="C19" s="608" t="s">
        <v>429</v>
      </c>
      <c r="D19" s="390"/>
      <c r="E19" s="491">
        <v>-8802.83</v>
      </c>
      <c r="F19" s="583">
        <f t="shared" si="0"/>
        <v>8802.8300000000036</v>
      </c>
    </row>
    <row r="20" spans="1:6" s="379" customFormat="1">
      <c r="A20" s="607">
        <v>43190</v>
      </c>
      <c r="B20" s="390"/>
      <c r="C20" s="608" t="s">
        <v>330</v>
      </c>
      <c r="D20" s="390"/>
      <c r="E20" s="491">
        <v>8802.83</v>
      </c>
      <c r="F20" s="583">
        <f t="shared" si="0"/>
        <v>17605.660000000003</v>
      </c>
    </row>
    <row r="21" spans="1:6" s="379" customFormat="1">
      <c r="A21" s="607">
        <v>43190</v>
      </c>
      <c r="B21" s="390"/>
      <c r="C21" s="608" t="s">
        <v>429</v>
      </c>
      <c r="D21" s="390"/>
      <c r="E21" s="491">
        <v>-8802.83</v>
      </c>
      <c r="F21" s="583">
        <f t="shared" si="0"/>
        <v>8802.8300000000036</v>
      </c>
    </row>
    <row r="22" spans="1:6" s="379" customFormat="1">
      <c r="A22" s="607">
        <v>43220</v>
      </c>
      <c r="B22" s="390"/>
      <c r="C22" s="608" t="s">
        <v>331</v>
      </c>
      <c r="D22" s="390"/>
      <c r="E22" s="491">
        <v>8802.83</v>
      </c>
      <c r="F22" s="583">
        <f t="shared" si="0"/>
        <v>17605.660000000003</v>
      </c>
    </row>
    <row r="23" spans="1:6" s="379" customFormat="1">
      <c r="A23" s="607">
        <v>43220</v>
      </c>
      <c r="B23" s="390"/>
      <c r="C23" s="608" t="s">
        <v>429</v>
      </c>
      <c r="D23" s="390"/>
      <c r="E23" s="491">
        <v>-8802.83</v>
      </c>
      <c r="F23" s="583">
        <f t="shared" si="0"/>
        <v>8802.8300000000036</v>
      </c>
    </row>
    <row r="24" spans="1:6" s="379" customFormat="1">
      <c r="A24" s="607">
        <v>43251</v>
      </c>
      <c r="B24" s="390"/>
      <c r="C24" s="608" t="s">
        <v>332</v>
      </c>
      <c r="D24" s="390"/>
      <c r="E24" s="491">
        <v>8802.83</v>
      </c>
      <c r="F24" s="583">
        <f t="shared" si="0"/>
        <v>17605.660000000003</v>
      </c>
    </row>
    <row r="25" spans="1:6" s="379" customFormat="1">
      <c r="A25" s="607">
        <v>43251</v>
      </c>
      <c r="B25" s="390"/>
      <c r="C25" s="608" t="s">
        <v>429</v>
      </c>
      <c r="D25" s="390"/>
      <c r="E25" s="491">
        <v>-8802.83</v>
      </c>
      <c r="F25" s="583">
        <f t="shared" si="0"/>
        <v>8802.8300000000036</v>
      </c>
    </row>
    <row r="26" spans="1:6" s="379" customFormat="1">
      <c r="A26" s="607">
        <v>43281</v>
      </c>
      <c r="B26" s="390"/>
      <c r="C26" s="608" t="s">
        <v>333</v>
      </c>
      <c r="D26" s="390"/>
      <c r="E26" s="491">
        <v>8802.83</v>
      </c>
      <c r="F26" s="583">
        <f t="shared" si="0"/>
        <v>17605.660000000003</v>
      </c>
    </row>
    <row r="27" spans="1:6" s="379" customFormat="1">
      <c r="A27" s="607">
        <v>43281</v>
      </c>
      <c r="B27" s="390"/>
      <c r="C27" s="608" t="s">
        <v>429</v>
      </c>
      <c r="D27" s="390"/>
      <c r="E27" s="491">
        <v>-8802.83</v>
      </c>
      <c r="F27" s="583">
        <f t="shared" si="0"/>
        <v>8802.8300000000036</v>
      </c>
    </row>
    <row r="28" spans="1:6" s="379" customFormat="1">
      <c r="A28" s="607">
        <v>43312</v>
      </c>
      <c r="B28" s="390"/>
      <c r="C28" s="608" t="s">
        <v>334</v>
      </c>
      <c r="D28" s="390"/>
      <c r="E28" s="491">
        <v>8802.83</v>
      </c>
      <c r="F28" s="583">
        <f t="shared" si="0"/>
        <v>17605.660000000003</v>
      </c>
    </row>
    <row r="29" spans="1:6" s="379" customFormat="1">
      <c r="A29" s="607">
        <v>43312</v>
      </c>
      <c r="B29" s="390"/>
      <c r="C29" s="608" t="s">
        <v>429</v>
      </c>
      <c r="D29" s="390"/>
      <c r="E29" s="491">
        <v>-8802.83</v>
      </c>
      <c r="F29" s="583">
        <f t="shared" si="0"/>
        <v>8802.8300000000036</v>
      </c>
    </row>
    <row r="30" spans="1:6" s="379" customFormat="1">
      <c r="A30" s="607">
        <v>43343</v>
      </c>
      <c r="B30" s="390"/>
      <c r="C30" s="608" t="s">
        <v>335</v>
      </c>
      <c r="D30" s="390"/>
      <c r="E30" s="491">
        <v>8802.83</v>
      </c>
      <c r="F30" s="583">
        <f t="shared" ref="F30:F37" si="1">F29+E30</f>
        <v>17605.660000000003</v>
      </c>
    </row>
    <row r="31" spans="1:6" s="379" customFormat="1">
      <c r="A31" s="607">
        <v>43343</v>
      </c>
      <c r="B31" s="390"/>
      <c r="C31" s="608" t="s">
        <v>429</v>
      </c>
      <c r="D31" s="390"/>
      <c r="E31" s="491">
        <v>-8802.83</v>
      </c>
      <c r="F31" s="583">
        <f t="shared" si="1"/>
        <v>8802.8300000000036</v>
      </c>
    </row>
    <row r="32" spans="1:6" s="379" customFormat="1">
      <c r="A32" s="607">
        <v>43373</v>
      </c>
      <c r="B32" s="390"/>
      <c r="C32" s="608" t="s">
        <v>336</v>
      </c>
      <c r="D32" s="390"/>
      <c r="E32" s="491">
        <v>8802.83</v>
      </c>
      <c r="F32" s="583">
        <f t="shared" si="1"/>
        <v>17605.660000000003</v>
      </c>
    </row>
    <row r="33" spans="1:6" s="379" customFormat="1">
      <c r="A33" s="607">
        <v>43373</v>
      </c>
      <c r="B33" s="390"/>
      <c r="C33" s="608" t="s">
        <v>429</v>
      </c>
      <c r="D33" s="390"/>
      <c r="E33" s="491">
        <v>-8802.83</v>
      </c>
      <c r="F33" s="583">
        <f t="shared" si="1"/>
        <v>8802.8300000000036</v>
      </c>
    </row>
    <row r="34" spans="1:6" s="379" customFormat="1">
      <c r="A34" s="607">
        <v>43404</v>
      </c>
      <c r="B34" s="390"/>
      <c r="C34" s="608" t="s">
        <v>337</v>
      </c>
      <c r="D34" s="390"/>
      <c r="E34" s="491">
        <v>8802.83</v>
      </c>
      <c r="F34" s="583">
        <f t="shared" si="1"/>
        <v>17605.660000000003</v>
      </c>
    </row>
    <row r="35" spans="1:6" s="379" customFormat="1">
      <c r="A35" s="607">
        <v>43404</v>
      </c>
      <c r="B35" s="390"/>
      <c r="C35" s="608" t="s">
        <v>429</v>
      </c>
      <c r="D35" s="390"/>
      <c r="E35" s="491">
        <v>-8802.83</v>
      </c>
      <c r="F35" s="583">
        <f t="shared" si="1"/>
        <v>8802.8300000000036</v>
      </c>
    </row>
    <row r="36" spans="1:6" s="379" customFormat="1">
      <c r="A36" s="607">
        <v>43434</v>
      </c>
      <c r="B36" s="390"/>
      <c r="C36" s="608" t="s">
        <v>338</v>
      </c>
      <c r="D36" s="390"/>
      <c r="E36" s="491">
        <v>8802.83</v>
      </c>
      <c r="F36" s="583">
        <f t="shared" si="1"/>
        <v>17605.660000000003</v>
      </c>
    </row>
    <row r="37" spans="1:6" s="379" customFormat="1">
      <c r="A37" s="607">
        <v>43434</v>
      </c>
      <c r="B37" s="390"/>
      <c r="C37" s="608" t="s">
        <v>429</v>
      </c>
      <c r="D37" s="390"/>
      <c r="E37" s="491">
        <v>-8802.83</v>
      </c>
      <c r="F37" s="583">
        <f t="shared" si="1"/>
        <v>8802.8300000000036</v>
      </c>
    </row>
    <row r="38" spans="1:6" s="379" customFormat="1">
      <c r="A38" s="607">
        <v>43465</v>
      </c>
      <c r="B38" s="390"/>
      <c r="C38" s="608" t="s">
        <v>339</v>
      </c>
      <c r="D38" s="390"/>
      <c r="E38" s="491">
        <v>8802.83</v>
      </c>
      <c r="F38" s="583">
        <f t="shared" ref="F38:F61" si="2">F37+E38</f>
        <v>17605.660000000003</v>
      </c>
    </row>
    <row r="39" spans="1:6" s="379" customFormat="1">
      <c r="A39" s="607">
        <v>43465</v>
      </c>
      <c r="B39" s="390"/>
      <c r="C39" s="608" t="s">
        <v>429</v>
      </c>
      <c r="D39" s="390"/>
      <c r="E39" s="491">
        <v>-8802.83</v>
      </c>
      <c r="F39" s="583">
        <f t="shared" si="2"/>
        <v>8802.8300000000036</v>
      </c>
    </row>
    <row r="40" spans="1:6" s="379" customFormat="1">
      <c r="A40" s="607">
        <v>43496</v>
      </c>
      <c r="B40" s="390"/>
      <c r="C40" s="608" t="s">
        <v>340</v>
      </c>
      <c r="D40" s="390"/>
      <c r="E40" s="491">
        <v>8802.83</v>
      </c>
      <c r="F40" s="583">
        <f t="shared" si="2"/>
        <v>17605.660000000003</v>
      </c>
    </row>
    <row r="41" spans="1:6" s="379" customFormat="1">
      <c r="A41" s="607">
        <v>43496</v>
      </c>
      <c r="B41" s="390"/>
      <c r="C41" s="608" t="s">
        <v>429</v>
      </c>
      <c r="D41" s="390"/>
      <c r="E41" s="491">
        <v>-8802.83</v>
      </c>
      <c r="F41" s="583">
        <f t="shared" si="2"/>
        <v>8802.8300000000036</v>
      </c>
    </row>
    <row r="42" spans="1:6" s="379" customFormat="1">
      <c r="A42" s="607">
        <v>43524</v>
      </c>
      <c r="B42" s="390"/>
      <c r="C42" s="608" t="s">
        <v>341</v>
      </c>
      <c r="D42" s="390"/>
      <c r="E42" s="491">
        <v>8802.83</v>
      </c>
      <c r="F42" s="583">
        <f t="shared" si="2"/>
        <v>17605.660000000003</v>
      </c>
    </row>
    <row r="43" spans="1:6" s="379" customFormat="1">
      <c r="A43" s="607">
        <v>43524</v>
      </c>
      <c r="B43" s="390"/>
      <c r="C43" s="608" t="s">
        <v>429</v>
      </c>
      <c r="D43" s="390"/>
      <c r="E43" s="491">
        <v>-8802.83</v>
      </c>
      <c r="F43" s="583">
        <f t="shared" si="2"/>
        <v>8802.8300000000036</v>
      </c>
    </row>
    <row r="44" spans="1:6" s="379" customFormat="1">
      <c r="A44" s="607">
        <v>43555</v>
      </c>
      <c r="B44" s="390"/>
      <c r="C44" s="608" t="s">
        <v>342</v>
      </c>
      <c r="D44" s="390"/>
      <c r="E44" s="491">
        <v>8802.83</v>
      </c>
      <c r="F44" s="583">
        <f t="shared" si="2"/>
        <v>17605.660000000003</v>
      </c>
    </row>
    <row r="45" spans="1:6" s="379" customFormat="1">
      <c r="A45" s="607">
        <v>43555</v>
      </c>
      <c r="B45" s="390"/>
      <c r="C45" s="608" t="s">
        <v>429</v>
      </c>
      <c r="D45" s="390"/>
      <c r="E45" s="491">
        <v>-8802.83</v>
      </c>
      <c r="F45" s="583">
        <f t="shared" si="2"/>
        <v>8802.8300000000036</v>
      </c>
    </row>
    <row r="46" spans="1:6" s="379" customFormat="1">
      <c r="A46" s="607">
        <v>43585</v>
      </c>
      <c r="B46" s="390"/>
      <c r="C46" s="608" t="s">
        <v>343</v>
      </c>
      <c r="D46" s="390"/>
      <c r="E46" s="491">
        <v>8802.83</v>
      </c>
      <c r="F46" s="583">
        <f t="shared" si="2"/>
        <v>17605.660000000003</v>
      </c>
    </row>
    <row r="47" spans="1:6" s="379" customFormat="1">
      <c r="A47" s="607">
        <v>43585</v>
      </c>
      <c r="B47" s="390"/>
      <c r="C47" s="608" t="s">
        <v>429</v>
      </c>
      <c r="D47" s="390"/>
      <c r="E47" s="491">
        <v>-8802.83</v>
      </c>
      <c r="F47" s="583">
        <f t="shared" si="2"/>
        <v>8802.8300000000036</v>
      </c>
    </row>
    <row r="48" spans="1:6" s="379" customFormat="1">
      <c r="A48" s="607">
        <v>43616</v>
      </c>
      <c r="B48" s="390"/>
      <c r="C48" s="608" t="s">
        <v>344</v>
      </c>
      <c r="D48" s="390"/>
      <c r="E48" s="491">
        <v>8802.83</v>
      </c>
      <c r="F48" s="583">
        <f t="shared" si="2"/>
        <v>17605.660000000003</v>
      </c>
    </row>
    <row r="49" spans="1:6" s="379" customFormat="1">
      <c r="A49" s="607">
        <v>43616</v>
      </c>
      <c r="B49" s="390"/>
      <c r="C49" s="608" t="s">
        <v>429</v>
      </c>
      <c r="D49" s="390"/>
      <c r="E49" s="491">
        <v>-8802.83</v>
      </c>
      <c r="F49" s="583">
        <f t="shared" si="2"/>
        <v>8802.8300000000036</v>
      </c>
    </row>
    <row r="50" spans="1:6" s="379" customFormat="1">
      <c r="A50" s="607">
        <v>43646</v>
      </c>
      <c r="B50" s="390"/>
      <c r="C50" s="608" t="s">
        <v>345</v>
      </c>
      <c r="D50" s="390"/>
      <c r="E50" s="491">
        <v>8802.83</v>
      </c>
      <c r="F50" s="583">
        <f t="shared" si="2"/>
        <v>17605.660000000003</v>
      </c>
    </row>
    <row r="51" spans="1:6" s="379" customFormat="1">
      <c r="A51" s="607">
        <v>43646</v>
      </c>
      <c r="B51" s="390"/>
      <c r="C51" s="608" t="s">
        <v>429</v>
      </c>
      <c r="D51" s="390"/>
      <c r="E51" s="491">
        <v>-8802.83</v>
      </c>
      <c r="F51" s="583">
        <f t="shared" si="2"/>
        <v>8802.8300000000036</v>
      </c>
    </row>
    <row r="52" spans="1:6" s="379" customFormat="1">
      <c r="A52" s="607">
        <v>43677</v>
      </c>
      <c r="B52" s="390"/>
      <c r="C52" s="608" t="s">
        <v>346</v>
      </c>
      <c r="D52" s="390"/>
      <c r="E52" s="491">
        <v>8802.83</v>
      </c>
      <c r="F52" s="583">
        <f t="shared" si="2"/>
        <v>17605.660000000003</v>
      </c>
    </row>
    <row r="53" spans="1:6" s="379" customFormat="1">
      <c r="A53" s="607">
        <v>43677</v>
      </c>
      <c r="B53" s="390"/>
      <c r="C53" s="608" t="s">
        <v>429</v>
      </c>
      <c r="D53" s="390"/>
      <c r="E53" s="491">
        <v>-8802.83</v>
      </c>
      <c r="F53" s="583">
        <f t="shared" si="2"/>
        <v>8802.8300000000036</v>
      </c>
    </row>
    <row r="54" spans="1:6" s="379" customFormat="1">
      <c r="A54" s="607">
        <v>43708</v>
      </c>
      <c r="B54" s="390"/>
      <c r="C54" s="608" t="s">
        <v>347</v>
      </c>
      <c r="D54" s="390"/>
      <c r="E54" s="491">
        <v>8802.83</v>
      </c>
      <c r="F54" s="583">
        <f t="shared" si="2"/>
        <v>17605.660000000003</v>
      </c>
    </row>
    <row r="55" spans="1:6" s="379" customFormat="1">
      <c r="A55" s="607">
        <v>43708</v>
      </c>
      <c r="B55" s="390"/>
      <c r="C55" s="608" t="s">
        <v>429</v>
      </c>
      <c r="D55" s="390"/>
      <c r="E55" s="491">
        <v>-8802.83</v>
      </c>
      <c r="F55" s="583">
        <f t="shared" si="2"/>
        <v>8802.8300000000036</v>
      </c>
    </row>
    <row r="56" spans="1:6" s="379" customFormat="1">
      <c r="A56" s="607">
        <v>43738</v>
      </c>
      <c r="B56" s="390"/>
      <c r="C56" s="608" t="s">
        <v>348</v>
      </c>
      <c r="D56" s="390"/>
      <c r="E56" s="491">
        <v>8802.83</v>
      </c>
      <c r="F56" s="583">
        <f t="shared" si="2"/>
        <v>17605.660000000003</v>
      </c>
    </row>
    <row r="57" spans="1:6" s="379" customFormat="1">
      <c r="A57" s="607">
        <v>43738</v>
      </c>
      <c r="B57" s="390"/>
      <c r="C57" s="608" t="s">
        <v>429</v>
      </c>
      <c r="D57" s="390"/>
      <c r="E57" s="491">
        <v>-8802.83</v>
      </c>
      <c r="F57" s="583">
        <f t="shared" si="2"/>
        <v>8802.8300000000036</v>
      </c>
    </row>
    <row r="58" spans="1:6" s="379" customFormat="1">
      <c r="A58" s="607">
        <v>43769</v>
      </c>
      <c r="B58" s="390"/>
      <c r="C58" s="608" t="s">
        <v>349</v>
      </c>
      <c r="D58" s="390"/>
      <c r="E58" s="491">
        <v>8802.83</v>
      </c>
      <c r="F58" s="583">
        <f t="shared" si="2"/>
        <v>17605.660000000003</v>
      </c>
    </row>
    <row r="59" spans="1:6" s="379" customFormat="1">
      <c r="A59" s="607">
        <v>43769</v>
      </c>
      <c r="B59" s="390"/>
      <c r="C59" s="608" t="s">
        <v>429</v>
      </c>
      <c r="D59" s="390"/>
      <c r="E59" s="491">
        <v>-8802.83</v>
      </c>
      <c r="F59" s="583">
        <f t="shared" si="2"/>
        <v>8802.8300000000036</v>
      </c>
    </row>
    <row r="60" spans="1:6" s="379" customFormat="1">
      <c r="A60" s="607">
        <v>43799</v>
      </c>
      <c r="B60" s="390"/>
      <c r="C60" s="608" t="s">
        <v>350</v>
      </c>
      <c r="D60" s="390"/>
      <c r="E60" s="491">
        <v>8802.83</v>
      </c>
      <c r="F60" s="583">
        <f t="shared" si="2"/>
        <v>17605.660000000003</v>
      </c>
    </row>
    <row r="61" spans="1:6" s="379" customFormat="1">
      <c r="A61" s="607">
        <v>43799</v>
      </c>
      <c r="B61" s="390"/>
      <c r="C61" s="608" t="s">
        <v>429</v>
      </c>
      <c r="D61" s="390"/>
      <c r="E61" s="491">
        <v>-8802.83</v>
      </c>
      <c r="F61" s="583">
        <f t="shared" si="2"/>
        <v>8802.8300000000036</v>
      </c>
    </row>
    <row r="62" spans="1:6" s="379" customFormat="1">
      <c r="A62" s="607">
        <v>43830</v>
      </c>
      <c r="B62" s="390"/>
      <c r="C62" s="608" t="s">
        <v>351</v>
      </c>
      <c r="D62" s="390"/>
      <c r="E62" s="491">
        <v>8802.83</v>
      </c>
      <c r="F62" s="583">
        <f t="shared" ref="F62:F85" si="3">F61+E62</f>
        <v>17605.660000000003</v>
      </c>
    </row>
    <row r="63" spans="1:6" s="379" customFormat="1">
      <c r="A63" s="607">
        <v>43830</v>
      </c>
      <c r="B63" s="390"/>
      <c r="C63" s="608" t="s">
        <v>429</v>
      </c>
      <c r="D63" s="390"/>
      <c r="E63" s="491">
        <v>-8802.83</v>
      </c>
      <c r="F63" s="583">
        <f t="shared" si="3"/>
        <v>8802.8300000000036</v>
      </c>
    </row>
    <row r="64" spans="1:6" s="379" customFormat="1">
      <c r="A64" s="607">
        <v>43861</v>
      </c>
      <c r="B64" s="390"/>
      <c r="C64" s="608" t="s">
        <v>352</v>
      </c>
      <c r="D64" s="390"/>
      <c r="E64" s="491">
        <v>8802.83</v>
      </c>
      <c r="F64" s="583">
        <f t="shared" si="3"/>
        <v>17605.660000000003</v>
      </c>
    </row>
    <row r="65" spans="1:6" s="379" customFormat="1">
      <c r="A65" s="607">
        <v>43861</v>
      </c>
      <c r="B65" s="390"/>
      <c r="C65" s="608" t="s">
        <v>429</v>
      </c>
      <c r="D65" s="390"/>
      <c r="E65" s="491">
        <v>-8802.83</v>
      </c>
      <c r="F65" s="583">
        <f t="shared" si="3"/>
        <v>8802.8300000000036</v>
      </c>
    </row>
    <row r="66" spans="1:6" s="379" customFormat="1">
      <c r="A66" s="607">
        <v>43890</v>
      </c>
      <c r="B66" s="390"/>
      <c r="C66" s="608" t="s">
        <v>354</v>
      </c>
      <c r="D66" s="390"/>
      <c r="E66" s="491">
        <v>8802.83</v>
      </c>
      <c r="F66" s="583">
        <f t="shared" si="3"/>
        <v>17605.660000000003</v>
      </c>
    </row>
    <row r="67" spans="1:6" s="379" customFormat="1">
      <c r="A67" s="607">
        <v>43890</v>
      </c>
      <c r="B67" s="390"/>
      <c r="C67" s="608" t="s">
        <v>429</v>
      </c>
      <c r="D67" s="390"/>
      <c r="E67" s="491">
        <v>-8802.83</v>
      </c>
      <c r="F67" s="583">
        <f t="shared" si="3"/>
        <v>8802.8300000000036</v>
      </c>
    </row>
    <row r="68" spans="1:6" s="379" customFormat="1">
      <c r="A68" s="607">
        <v>43921</v>
      </c>
      <c r="B68" s="390"/>
      <c r="C68" s="608" t="s">
        <v>355</v>
      </c>
      <c r="D68" s="390"/>
      <c r="E68" s="491">
        <v>8802.83</v>
      </c>
      <c r="F68" s="583">
        <f t="shared" si="3"/>
        <v>17605.660000000003</v>
      </c>
    </row>
    <row r="69" spans="1:6" s="379" customFormat="1">
      <c r="A69" s="607">
        <v>43921</v>
      </c>
      <c r="B69" s="390"/>
      <c r="C69" s="608" t="s">
        <v>429</v>
      </c>
      <c r="D69" s="390"/>
      <c r="E69" s="491">
        <v>-8802.83</v>
      </c>
      <c r="F69" s="583">
        <f t="shared" si="3"/>
        <v>8802.8300000000036</v>
      </c>
    </row>
    <row r="70" spans="1:6" s="379" customFormat="1">
      <c r="A70" s="607">
        <v>43951</v>
      </c>
      <c r="B70" s="390"/>
      <c r="C70" s="608" t="s">
        <v>356</v>
      </c>
      <c r="D70" s="390"/>
      <c r="E70" s="491">
        <v>8802.83</v>
      </c>
      <c r="F70" s="583">
        <f t="shared" si="3"/>
        <v>17605.660000000003</v>
      </c>
    </row>
    <row r="71" spans="1:6" s="379" customFormat="1">
      <c r="A71" s="607">
        <v>43951</v>
      </c>
      <c r="B71" s="390"/>
      <c r="C71" s="608" t="s">
        <v>429</v>
      </c>
      <c r="D71" s="390"/>
      <c r="E71" s="491">
        <v>-8802.83</v>
      </c>
      <c r="F71" s="583">
        <f t="shared" si="3"/>
        <v>8802.8300000000036</v>
      </c>
    </row>
    <row r="72" spans="1:6" s="379" customFormat="1">
      <c r="A72" s="607">
        <v>43982</v>
      </c>
      <c r="B72" s="390"/>
      <c r="C72" s="608" t="s">
        <v>357</v>
      </c>
      <c r="D72" s="390"/>
      <c r="E72" s="491">
        <v>8802.83</v>
      </c>
      <c r="F72" s="583">
        <f t="shared" si="3"/>
        <v>17605.660000000003</v>
      </c>
    </row>
    <row r="73" spans="1:6" s="379" customFormat="1">
      <c r="A73" s="607">
        <v>43982</v>
      </c>
      <c r="B73" s="390"/>
      <c r="C73" s="608" t="s">
        <v>429</v>
      </c>
      <c r="D73" s="390"/>
      <c r="E73" s="491">
        <v>-8802.83</v>
      </c>
      <c r="F73" s="583">
        <f t="shared" si="3"/>
        <v>8802.8300000000036</v>
      </c>
    </row>
    <row r="74" spans="1:6" s="379" customFormat="1">
      <c r="A74" s="607">
        <v>44012</v>
      </c>
      <c r="B74" s="390"/>
      <c r="C74" s="608" t="s">
        <v>358</v>
      </c>
      <c r="D74" s="390"/>
      <c r="E74" s="491">
        <v>8802.83</v>
      </c>
      <c r="F74" s="583">
        <f t="shared" si="3"/>
        <v>17605.660000000003</v>
      </c>
    </row>
    <row r="75" spans="1:6" s="379" customFormat="1">
      <c r="A75" s="607">
        <v>44012</v>
      </c>
      <c r="B75" s="390"/>
      <c r="C75" s="608" t="s">
        <v>429</v>
      </c>
      <c r="D75" s="390"/>
      <c r="E75" s="491">
        <v>-8802.83</v>
      </c>
      <c r="F75" s="583">
        <f t="shared" si="3"/>
        <v>8802.8300000000036</v>
      </c>
    </row>
    <row r="76" spans="1:6" s="379" customFormat="1">
      <c r="A76" s="607">
        <v>44043</v>
      </c>
      <c r="B76" s="390"/>
      <c r="C76" s="608" t="s">
        <v>359</v>
      </c>
      <c r="D76" s="390"/>
      <c r="E76" s="491">
        <v>8802.83</v>
      </c>
      <c r="F76" s="583">
        <f t="shared" si="3"/>
        <v>17605.660000000003</v>
      </c>
    </row>
    <row r="77" spans="1:6" s="379" customFormat="1">
      <c r="A77" s="607">
        <v>44043</v>
      </c>
      <c r="B77" s="390"/>
      <c r="C77" s="608" t="s">
        <v>429</v>
      </c>
      <c r="D77" s="390"/>
      <c r="E77" s="491">
        <v>-8802.83</v>
      </c>
      <c r="F77" s="583">
        <f t="shared" si="3"/>
        <v>8802.8300000000036</v>
      </c>
    </row>
    <row r="78" spans="1:6" s="379" customFormat="1">
      <c r="A78" s="607">
        <v>44074</v>
      </c>
      <c r="B78" s="390"/>
      <c r="C78" s="608" t="s">
        <v>360</v>
      </c>
      <c r="D78" s="390"/>
      <c r="E78" s="491">
        <v>8802.83</v>
      </c>
      <c r="F78" s="583">
        <f t="shared" si="3"/>
        <v>17605.660000000003</v>
      </c>
    </row>
    <row r="79" spans="1:6" s="379" customFormat="1">
      <c r="A79" s="607">
        <v>44074</v>
      </c>
      <c r="B79" s="390"/>
      <c r="C79" s="608" t="s">
        <v>429</v>
      </c>
      <c r="D79" s="390"/>
      <c r="E79" s="491">
        <v>-8802.83</v>
      </c>
      <c r="F79" s="583">
        <f t="shared" si="3"/>
        <v>8802.8300000000036</v>
      </c>
    </row>
    <row r="80" spans="1:6" s="379" customFormat="1">
      <c r="A80" s="607">
        <v>44104</v>
      </c>
      <c r="B80" s="390"/>
      <c r="C80" s="608" t="s">
        <v>361</v>
      </c>
      <c r="D80" s="390"/>
      <c r="E80" s="491">
        <v>8802.83</v>
      </c>
      <c r="F80" s="583">
        <f t="shared" si="3"/>
        <v>17605.660000000003</v>
      </c>
    </row>
    <row r="81" spans="1:6" s="379" customFormat="1">
      <c r="A81" s="607">
        <v>44104</v>
      </c>
      <c r="B81" s="390"/>
      <c r="C81" s="608" t="s">
        <v>429</v>
      </c>
      <c r="D81" s="390"/>
      <c r="E81" s="491">
        <v>-8802.83</v>
      </c>
      <c r="F81" s="583">
        <f t="shared" si="3"/>
        <v>8802.8300000000036</v>
      </c>
    </row>
    <row r="82" spans="1:6" s="379" customFormat="1">
      <c r="A82" s="607">
        <v>44135</v>
      </c>
      <c r="B82" s="390"/>
      <c r="C82" s="608" t="s">
        <v>362</v>
      </c>
      <c r="D82" s="390"/>
      <c r="E82" s="491">
        <v>8802.83</v>
      </c>
      <c r="F82" s="583">
        <f t="shared" si="3"/>
        <v>17605.660000000003</v>
      </c>
    </row>
    <row r="83" spans="1:6" s="379" customFormat="1">
      <c r="A83" s="607">
        <v>44135</v>
      </c>
      <c r="B83" s="390"/>
      <c r="C83" s="608" t="s">
        <v>429</v>
      </c>
      <c r="D83" s="390"/>
      <c r="E83" s="491">
        <v>-8802.83</v>
      </c>
      <c r="F83" s="583">
        <f t="shared" si="3"/>
        <v>8802.8300000000036</v>
      </c>
    </row>
    <row r="84" spans="1:6" s="379" customFormat="1">
      <c r="A84" s="607">
        <v>44165</v>
      </c>
      <c r="B84" s="390"/>
      <c r="C84" s="608" t="s">
        <v>363</v>
      </c>
      <c r="D84" s="390"/>
      <c r="E84" s="491">
        <v>8802.83</v>
      </c>
      <c r="F84" s="583">
        <f t="shared" si="3"/>
        <v>17605.660000000003</v>
      </c>
    </row>
    <row r="85" spans="1:6" s="379" customFormat="1">
      <c r="A85" s="607">
        <v>44165</v>
      </c>
      <c r="B85" s="390"/>
      <c r="C85" s="608" t="s">
        <v>429</v>
      </c>
      <c r="D85" s="390"/>
      <c r="E85" s="491">
        <v>-8802.83</v>
      </c>
      <c r="F85" s="583">
        <f t="shared" si="3"/>
        <v>8802.8300000000036</v>
      </c>
    </row>
    <row r="86" spans="1:6" s="379" customFormat="1">
      <c r="A86" s="607">
        <v>44169</v>
      </c>
      <c r="B86" s="390"/>
      <c r="C86" s="608" t="s">
        <v>364</v>
      </c>
      <c r="D86" s="390"/>
      <c r="E86" s="491">
        <v>8802.83</v>
      </c>
      <c r="F86" s="583">
        <f>F83+E86</f>
        <v>17605.660000000003</v>
      </c>
    </row>
    <row r="87" spans="1:6" s="379" customFormat="1">
      <c r="A87" s="607">
        <v>44196</v>
      </c>
      <c r="B87" s="390"/>
      <c r="C87" s="608" t="s">
        <v>429</v>
      </c>
      <c r="D87" s="390"/>
      <c r="E87" s="491">
        <v>-8802.83</v>
      </c>
      <c r="F87" s="583">
        <f>F86+E87</f>
        <v>8802.8300000000036</v>
      </c>
    </row>
    <row r="88" spans="1:6" s="379" customFormat="1">
      <c r="A88" s="607">
        <v>44201</v>
      </c>
      <c r="B88" s="390"/>
      <c r="C88" s="608" t="s">
        <v>365</v>
      </c>
      <c r="D88" s="390"/>
      <c r="E88" s="491">
        <v>8802.83</v>
      </c>
      <c r="F88" s="583">
        <f>F85+E88</f>
        <v>17605.660000000003</v>
      </c>
    </row>
    <row r="89" spans="1:6" s="379" customFormat="1">
      <c r="A89" s="607">
        <v>44227</v>
      </c>
      <c r="B89" s="390"/>
      <c r="C89" s="608" t="s">
        <v>429</v>
      </c>
      <c r="D89" s="390"/>
      <c r="E89" s="491">
        <v>-8802.83</v>
      </c>
      <c r="F89" s="583">
        <f>F88+E89</f>
        <v>8802.8300000000036</v>
      </c>
    </row>
    <row r="90" spans="1:6" s="379" customFormat="1">
      <c r="A90" s="607">
        <v>44232</v>
      </c>
      <c r="B90" s="390"/>
      <c r="C90" s="608" t="s">
        <v>366</v>
      </c>
      <c r="D90" s="390"/>
      <c r="E90" s="491">
        <v>8802.83</v>
      </c>
      <c r="F90" s="583">
        <f>F87+E90</f>
        <v>17605.660000000003</v>
      </c>
    </row>
    <row r="91" spans="1:6" s="379" customFormat="1">
      <c r="A91" s="607">
        <v>44255</v>
      </c>
      <c r="B91" s="390"/>
      <c r="C91" s="608" t="s">
        <v>429</v>
      </c>
      <c r="D91" s="390"/>
      <c r="E91" s="491">
        <v>-8802.83</v>
      </c>
      <c r="F91" s="583">
        <f>F90+E91</f>
        <v>8802.8300000000036</v>
      </c>
    </row>
    <row r="92" spans="1:6" s="379" customFormat="1">
      <c r="A92" s="607">
        <v>44260</v>
      </c>
      <c r="B92" s="390"/>
      <c r="C92" s="608" t="s">
        <v>366</v>
      </c>
      <c r="D92" s="390"/>
      <c r="E92" s="491">
        <v>8802.83</v>
      </c>
      <c r="F92" s="583">
        <f>F91+E92</f>
        <v>17605.660000000003</v>
      </c>
    </row>
    <row r="93" spans="1:6" s="379" customFormat="1">
      <c r="A93" s="607">
        <v>44286</v>
      </c>
      <c r="B93" s="390"/>
      <c r="C93" s="608" t="s">
        <v>429</v>
      </c>
      <c r="D93" s="390"/>
      <c r="E93" s="491">
        <v>-8802.83</v>
      </c>
      <c r="F93" s="583">
        <f>F92+E93</f>
        <v>8802.8300000000036</v>
      </c>
    </row>
    <row r="94" spans="1:6" s="379" customFormat="1">
      <c r="A94" s="607">
        <v>44291</v>
      </c>
      <c r="B94" s="390"/>
      <c r="C94" s="608" t="s">
        <v>368</v>
      </c>
      <c r="D94" s="390"/>
      <c r="E94" s="491">
        <v>8802.83</v>
      </c>
      <c r="F94" s="583">
        <f t="shared" ref="F94:F109" si="4">F93+E94</f>
        <v>17605.660000000003</v>
      </c>
    </row>
    <row r="95" spans="1:6" s="379" customFormat="1">
      <c r="A95" s="607">
        <v>44316</v>
      </c>
      <c r="B95" s="390"/>
      <c r="C95" s="608" t="s">
        <v>429</v>
      </c>
      <c r="D95" s="390"/>
      <c r="E95" s="491">
        <v>-8802.83</v>
      </c>
      <c r="F95" s="583">
        <f t="shared" si="4"/>
        <v>8802.8300000000036</v>
      </c>
    </row>
    <row r="96" spans="1:6" s="379" customFormat="1">
      <c r="A96" s="607">
        <v>44321</v>
      </c>
      <c r="B96" s="390"/>
      <c r="C96" s="608" t="s">
        <v>430</v>
      </c>
      <c r="D96" s="390"/>
      <c r="E96" s="491">
        <v>8802.83</v>
      </c>
      <c r="F96" s="583">
        <f t="shared" si="4"/>
        <v>17605.660000000003</v>
      </c>
    </row>
    <row r="97" spans="1:6" s="379" customFormat="1">
      <c r="A97" s="607">
        <v>44346</v>
      </c>
      <c r="B97" s="390"/>
      <c r="C97" s="608" t="s">
        <v>429</v>
      </c>
      <c r="D97" s="390"/>
      <c r="E97" s="491">
        <v>-8802.83</v>
      </c>
      <c r="F97" s="583">
        <f t="shared" si="4"/>
        <v>8802.8300000000036</v>
      </c>
    </row>
    <row r="98" spans="1:6" s="379" customFormat="1">
      <c r="A98" s="607">
        <v>44351</v>
      </c>
      <c r="B98" s="390"/>
      <c r="C98" s="608" t="s">
        <v>431</v>
      </c>
      <c r="D98" s="390"/>
      <c r="E98" s="491">
        <v>8802.83</v>
      </c>
      <c r="F98" s="583">
        <f t="shared" si="4"/>
        <v>17605.660000000003</v>
      </c>
    </row>
    <row r="99" spans="1:6" s="379" customFormat="1">
      <c r="A99" s="607">
        <v>44377</v>
      </c>
      <c r="B99" s="390"/>
      <c r="C99" s="608" t="s">
        <v>429</v>
      </c>
      <c r="D99" s="390"/>
      <c r="E99" s="491">
        <v>-8802.83</v>
      </c>
      <c r="F99" s="583">
        <f t="shared" si="4"/>
        <v>8802.8300000000036</v>
      </c>
    </row>
    <row r="100" spans="1:6" s="379" customFormat="1">
      <c r="A100" s="607">
        <v>44379</v>
      </c>
      <c r="B100" s="390"/>
      <c r="C100" s="608" t="s">
        <v>371</v>
      </c>
      <c r="D100" s="390"/>
      <c r="E100" s="491">
        <v>8802.83</v>
      </c>
      <c r="F100" s="583">
        <f t="shared" si="4"/>
        <v>17605.660000000003</v>
      </c>
    </row>
    <row r="101" spans="1:6" s="379" customFormat="1">
      <c r="A101" s="607">
        <v>44407</v>
      </c>
      <c r="B101" s="390"/>
      <c r="C101" s="608" t="s">
        <v>429</v>
      </c>
      <c r="D101" s="390"/>
      <c r="E101" s="491">
        <v>-8802.83</v>
      </c>
      <c r="F101" s="583">
        <f t="shared" si="4"/>
        <v>8802.8300000000036</v>
      </c>
    </row>
    <row r="102" spans="1:6" s="379" customFormat="1">
      <c r="A102" s="607">
        <v>44413</v>
      </c>
      <c r="B102" s="390"/>
      <c r="C102" s="608" t="s">
        <v>372</v>
      </c>
      <c r="D102" s="390"/>
      <c r="E102" s="491">
        <v>8802.83</v>
      </c>
      <c r="F102" s="583">
        <f t="shared" si="4"/>
        <v>17605.660000000003</v>
      </c>
    </row>
    <row r="103" spans="1:6" s="379" customFormat="1">
      <c r="A103" s="607">
        <v>44439</v>
      </c>
      <c r="B103" s="390"/>
      <c r="C103" s="608" t="s">
        <v>429</v>
      </c>
      <c r="D103" s="390"/>
      <c r="E103" s="491">
        <v>-8802.83</v>
      </c>
      <c r="F103" s="583">
        <f t="shared" si="4"/>
        <v>8802.8300000000036</v>
      </c>
    </row>
    <row r="104" spans="1:6" s="379" customFormat="1">
      <c r="A104" s="607">
        <v>44469</v>
      </c>
      <c r="B104" s="390"/>
      <c r="C104" s="608" t="s">
        <v>373</v>
      </c>
      <c r="D104" s="390"/>
      <c r="E104" s="491">
        <v>8802.83</v>
      </c>
      <c r="F104" s="583">
        <f t="shared" si="4"/>
        <v>17605.660000000003</v>
      </c>
    </row>
    <row r="105" spans="1:6" s="379" customFormat="1">
      <c r="A105" s="607">
        <v>44469</v>
      </c>
      <c r="B105" s="390"/>
      <c r="C105" s="608" t="s">
        <v>429</v>
      </c>
      <c r="D105" s="390"/>
      <c r="E105" s="491">
        <v>-8802.83</v>
      </c>
      <c r="F105" s="583">
        <f t="shared" si="4"/>
        <v>8802.8300000000036</v>
      </c>
    </row>
    <row r="106" spans="1:6" s="379" customFormat="1">
      <c r="A106" s="607">
        <v>44499</v>
      </c>
      <c r="B106" s="390"/>
      <c r="C106" s="608" t="s">
        <v>374</v>
      </c>
      <c r="D106" s="390"/>
      <c r="E106" s="491">
        <v>8802.83</v>
      </c>
      <c r="F106" s="583">
        <f t="shared" si="4"/>
        <v>17605.660000000003</v>
      </c>
    </row>
    <row r="107" spans="1:6" s="379" customFormat="1">
      <c r="A107" s="607">
        <v>44499</v>
      </c>
      <c r="B107" s="390"/>
      <c r="C107" s="608" t="s">
        <v>429</v>
      </c>
      <c r="D107" s="390"/>
      <c r="E107" s="491">
        <v>-8802.83</v>
      </c>
      <c r="F107" s="583">
        <f t="shared" si="4"/>
        <v>8802.8300000000036</v>
      </c>
    </row>
    <row r="108" spans="1:6" s="379" customFormat="1">
      <c r="A108" s="607">
        <v>44530</v>
      </c>
      <c r="B108" s="390"/>
      <c r="C108" s="608" t="s">
        <v>429</v>
      </c>
      <c r="D108" s="390"/>
      <c r="E108" s="491">
        <v>-8802.83</v>
      </c>
      <c r="F108" s="583">
        <f t="shared" si="4"/>
        <v>0</v>
      </c>
    </row>
    <row r="109" spans="1:6" s="379" customFormat="1">
      <c r="A109" s="607">
        <v>44531</v>
      </c>
      <c r="B109" s="390"/>
      <c r="C109" s="608" t="s">
        <v>429</v>
      </c>
      <c r="D109" s="390"/>
      <c r="E109" s="491">
        <v>-8802.83</v>
      </c>
      <c r="F109" s="583">
        <f t="shared" si="4"/>
        <v>-8802.83</v>
      </c>
    </row>
    <row r="110" spans="1:6" s="379" customFormat="1">
      <c r="A110" s="607">
        <v>44532</v>
      </c>
      <c r="B110" s="390"/>
      <c r="C110" s="608" t="s">
        <v>429</v>
      </c>
      <c r="D110" s="390"/>
      <c r="E110" s="491">
        <v>8802.83</v>
      </c>
      <c r="F110" s="583">
        <f t="shared" ref="F110:F118" si="5">F109+E110</f>
        <v>0</v>
      </c>
    </row>
    <row r="111" spans="1:6" s="379" customFormat="1">
      <c r="A111" s="607">
        <v>44566</v>
      </c>
      <c r="B111" s="390"/>
      <c r="C111" s="608" t="s">
        <v>429</v>
      </c>
      <c r="D111" s="390"/>
      <c r="E111" s="491">
        <v>8802.83</v>
      </c>
      <c r="F111" s="583">
        <f t="shared" si="5"/>
        <v>8802.83</v>
      </c>
    </row>
    <row r="112" spans="1:6" s="379" customFormat="1">
      <c r="A112" s="607">
        <v>44592</v>
      </c>
      <c r="B112" s="390"/>
      <c r="C112" s="608" t="s">
        <v>429</v>
      </c>
      <c r="D112" s="390"/>
      <c r="E112" s="491">
        <v>-8802.83</v>
      </c>
      <c r="F112" s="583">
        <f t="shared" si="5"/>
        <v>0</v>
      </c>
    </row>
    <row r="113" spans="1:6" s="379" customFormat="1">
      <c r="A113" s="607">
        <v>44596</v>
      </c>
      <c r="B113" s="390"/>
      <c r="C113" s="608" t="s">
        <v>429</v>
      </c>
      <c r="D113" s="390"/>
      <c r="E113" s="491">
        <v>8802.83</v>
      </c>
      <c r="F113" s="583">
        <f t="shared" si="5"/>
        <v>8802.83</v>
      </c>
    </row>
    <row r="114" spans="1:6" s="379" customFormat="1">
      <c r="A114" s="607">
        <v>44620</v>
      </c>
      <c r="B114" s="390"/>
      <c r="C114" s="608" t="s">
        <v>429</v>
      </c>
      <c r="D114" s="390"/>
      <c r="E114" s="491">
        <v>-8802.83</v>
      </c>
      <c r="F114" s="583">
        <f t="shared" si="5"/>
        <v>0</v>
      </c>
    </row>
    <row r="115" spans="1:6" s="379" customFormat="1">
      <c r="A115" s="607">
        <v>44624</v>
      </c>
      <c r="B115" s="390"/>
      <c r="C115" s="608" t="s">
        <v>429</v>
      </c>
      <c r="D115" s="390"/>
      <c r="E115" s="491">
        <v>8802.83</v>
      </c>
      <c r="F115" s="583">
        <f t="shared" si="5"/>
        <v>8802.83</v>
      </c>
    </row>
    <row r="116" spans="1:6" s="379" customFormat="1">
      <c r="A116" s="607">
        <v>44651</v>
      </c>
      <c r="B116" s="390"/>
      <c r="C116" s="608" t="s">
        <v>429</v>
      </c>
      <c r="D116" s="390"/>
      <c r="E116" s="491">
        <v>-8802.83</v>
      </c>
      <c r="F116" s="583">
        <f t="shared" si="5"/>
        <v>0</v>
      </c>
    </row>
    <row r="117" spans="1:6" s="379" customFormat="1">
      <c r="A117" s="607">
        <v>44656</v>
      </c>
      <c r="B117" s="390"/>
      <c r="C117" s="608" t="s">
        <v>429</v>
      </c>
      <c r="D117" s="390"/>
      <c r="E117" s="491">
        <v>8802.83</v>
      </c>
      <c r="F117" s="583">
        <f t="shared" si="5"/>
        <v>8802.83</v>
      </c>
    </row>
    <row r="118" spans="1:6" s="379" customFormat="1">
      <c r="A118" s="607">
        <v>44681</v>
      </c>
      <c r="B118" s="390"/>
      <c r="C118" s="608" t="s">
        <v>429</v>
      </c>
      <c r="D118" s="390"/>
      <c r="E118" s="491">
        <v>-8802.83</v>
      </c>
      <c r="F118" s="583">
        <f t="shared" si="5"/>
        <v>0</v>
      </c>
    </row>
    <row r="119" spans="1:6" s="379" customFormat="1">
      <c r="A119" s="607">
        <v>44686</v>
      </c>
      <c r="B119" s="390"/>
      <c r="C119" s="608" t="s">
        <v>429</v>
      </c>
      <c r="D119" s="390"/>
      <c r="E119" s="491">
        <v>8802.83</v>
      </c>
      <c r="F119" s="583">
        <f t="shared" ref="F119:F138" si="6">F118+E119</f>
        <v>8802.83</v>
      </c>
    </row>
    <row r="120" spans="1:6" s="379" customFormat="1">
      <c r="A120" s="607">
        <v>44712</v>
      </c>
      <c r="B120" s="390"/>
      <c r="C120" s="608" t="s">
        <v>429</v>
      </c>
      <c r="D120" s="390"/>
      <c r="E120" s="491">
        <v>-8802.83</v>
      </c>
      <c r="F120" s="583">
        <f t="shared" si="6"/>
        <v>0</v>
      </c>
    </row>
    <row r="121" spans="1:6" s="379" customFormat="1">
      <c r="A121" s="607">
        <v>44717</v>
      </c>
      <c r="B121" s="390"/>
      <c r="C121" s="608" t="s">
        <v>429</v>
      </c>
      <c r="D121" s="390"/>
      <c r="E121" s="491">
        <v>8802.83</v>
      </c>
      <c r="F121" s="583">
        <f t="shared" si="6"/>
        <v>8802.83</v>
      </c>
    </row>
    <row r="122" spans="1:6" s="379" customFormat="1">
      <c r="A122" s="607">
        <v>44742</v>
      </c>
      <c r="B122" s="390"/>
      <c r="C122" s="608" t="s">
        <v>429</v>
      </c>
      <c r="D122" s="390"/>
      <c r="E122" s="491">
        <v>-8802.83</v>
      </c>
      <c r="F122" s="583">
        <f t="shared" si="6"/>
        <v>0</v>
      </c>
    </row>
    <row r="123" spans="1:6" s="379" customFormat="1">
      <c r="A123" s="607">
        <v>44747</v>
      </c>
      <c r="B123" s="390"/>
      <c r="C123" s="608" t="s">
        <v>383</v>
      </c>
      <c r="D123" s="390"/>
      <c r="E123" s="491">
        <v>8802.83</v>
      </c>
      <c r="F123" s="583">
        <f t="shared" si="6"/>
        <v>8802.83</v>
      </c>
    </row>
    <row r="124" spans="1:6" s="379" customFormat="1">
      <c r="A124" s="607">
        <v>44773</v>
      </c>
      <c r="B124" s="390"/>
      <c r="C124" s="608" t="s">
        <v>429</v>
      </c>
      <c r="D124" s="390"/>
      <c r="E124" s="491">
        <v>-8802.83</v>
      </c>
      <c r="F124" s="583">
        <f t="shared" si="6"/>
        <v>0</v>
      </c>
    </row>
    <row r="125" spans="1:6" s="379" customFormat="1">
      <c r="A125" s="607">
        <v>44778</v>
      </c>
      <c r="B125" s="390"/>
      <c r="C125" s="608" t="s">
        <v>385</v>
      </c>
      <c r="D125" s="390"/>
      <c r="E125" s="491">
        <v>8802.83</v>
      </c>
      <c r="F125" s="583">
        <f t="shared" si="6"/>
        <v>8802.83</v>
      </c>
    </row>
    <row r="126" spans="1:6" s="379" customFormat="1">
      <c r="A126" s="607">
        <v>44804</v>
      </c>
      <c r="B126" s="390"/>
      <c r="C126" s="608" t="s">
        <v>429</v>
      </c>
      <c r="D126" s="390"/>
      <c r="E126" s="491">
        <v>-8802.83</v>
      </c>
      <c r="F126" s="583">
        <f t="shared" si="6"/>
        <v>0</v>
      </c>
    </row>
    <row r="127" spans="1:6" s="379" customFormat="1">
      <c r="A127" s="607">
        <v>44806</v>
      </c>
      <c r="B127" s="390"/>
      <c r="C127" s="608" t="s">
        <v>386</v>
      </c>
      <c r="D127" s="390"/>
      <c r="E127" s="491">
        <v>8802.83</v>
      </c>
      <c r="F127" s="583">
        <f t="shared" si="6"/>
        <v>8802.83</v>
      </c>
    </row>
    <row r="128" spans="1:6" s="379" customFormat="1">
      <c r="A128" s="607">
        <v>44834</v>
      </c>
      <c r="B128" s="390"/>
      <c r="C128" s="608" t="s">
        <v>429</v>
      </c>
      <c r="D128" s="390"/>
      <c r="E128" s="491">
        <v>-8802.83</v>
      </c>
      <c r="F128" s="583">
        <f t="shared" si="6"/>
        <v>0</v>
      </c>
    </row>
    <row r="129" spans="1:6" s="379" customFormat="1">
      <c r="A129" s="607">
        <v>44836</v>
      </c>
      <c r="B129" s="390"/>
      <c r="C129" s="608" t="s">
        <v>387</v>
      </c>
      <c r="D129" s="390"/>
      <c r="E129" s="491">
        <v>8802.83</v>
      </c>
      <c r="F129" s="583">
        <f t="shared" si="6"/>
        <v>8802.83</v>
      </c>
    </row>
    <row r="130" spans="1:6" s="379" customFormat="1">
      <c r="A130" s="607">
        <v>44865</v>
      </c>
      <c r="B130" s="390"/>
      <c r="C130" s="608" t="s">
        <v>429</v>
      </c>
      <c r="D130" s="390"/>
      <c r="E130" s="491">
        <v>-8802.83</v>
      </c>
      <c r="F130" s="583">
        <f t="shared" si="6"/>
        <v>0</v>
      </c>
    </row>
    <row r="131" spans="1:6" s="379" customFormat="1">
      <c r="A131" s="607">
        <v>44867</v>
      </c>
      <c r="B131" s="390"/>
      <c r="C131" s="608" t="s">
        <v>388</v>
      </c>
      <c r="D131" s="390"/>
      <c r="E131" s="491">
        <v>8802.83</v>
      </c>
      <c r="F131" s="583">
        <f t="shared" si="6"/>
        <v>8802.83</v>
      </c>
    </row>
    <row r="132" spans="1:6" s="379" customFormat="1">
      <c r="A132" s="607">
        <v>44895</v>
      </c>
      <c r="B132" s="390"/>
      <c r="C132" s="608" t="s">
        <v>429</v>
      </c>
      <c r="D132" s="390"/>
      <c r="E132" s="491">
        <v>-8802.83</v>
      </c>
      <c r="F132" s="583">
        <f t="shared" si="6"/>
        <v>0</v>
      </c>
    </row>
    <row r="133" spans="1:6" s="379" customFormat="1">
      <c r="A133" s="607">
        <v>37595</v>
      </c>
      <c r="B133" s="390"/>
      <c r="C133" s="608" t="s">
        <v>389</v>
      </c>
      <c r="D133" s="390"/>
      <c r="E133" s="491">
        <v>8802.83</v>
      </c>
      <c r="F133" s="583">
        <f t="shared" si="6"/>
        <v>8802.83</v>
      </c>
    </row>
    <row r="134" spans="1:6" s="379" customFormat="1">
      <c r="A134" s="607">
        <v>44926</v>
      </c>
      <c r="B134" s="390"/>
      <c r="C134" s="608" t="s">
        <v>429</v>
      </c>
      <c r="D134" s="390"/>
      <c r="E134" s="491">
        <v>-8802.83</v>
      </c>
      <c r="F134" s="583">
        <f t="shared" si="6"/>
        <v>0</v>
      </c>
    </row>
    <row r="135" spans="1:6" s="379" customFormat="1">
      <c r="A135" s="607">
        <v>44931</v>
      </c>
      <c r="B135" s="390"/>
      <c r="C135" s="608" t="s">
        <v>390</v>
      </c>
      <c r="D135" s="390"/>
      <c r="E135" s="491">
        <v>8802.83</v>
      </c>
      <c r="F135" s="583">
        <f t="shared" si="6"/>
        <v>8802.83</v>
      </c>
    </row>
    <row r="136" spans="1:6" s="379" customFormat="1">
      <c r="A136" s="607">
        <v>44957</v>
      </c>
      <c r="B136" s="390"/>
      <c r="C136" s="608" t="s">
        <v>429</v>
      </c>
      <c r="D136" s="390"/>
      <c r="E136" s="491">
        <v>-8802.83</v>
      </c>
      <c r="F136" s="583">
        <f t="shared" si="6"/>
        <v>0</v>
      </c>
    </row>
    <row r="137" spans="1:6" s="379" customFormat="1">
      <c r="A137" s="607">
        <v>44960</v>
      </c>
      <c r="B137" s="390"/>
      <c r="C137" s="608" t="s">
        <v>391</v>
      </c>
      <c r="D137" s="390"/>
      <c r="E137" s="491">
        <v>8802.83</v>
      </c>
      <c r="F137" s="583">
        <f t="shared" si="6"/>
        <v>8802.83</v>
      </c>
    </row>
    <row r="138" spans="1:6" s="379" customFormat="1">
      <c r="A138" s="607">
        <v>44985</v>
      </c>
      <c r="B138" s="390"/>
      <c r="C138" s="608" t="s">
        <v>429</v>
      </c>
      <c r="D138" s="390"/>
      <c r="E138" s="491">
        <v>-8802.83</v>
      </c>
      <c r="F138" s="583">
        <f t="shared" si="6"/>
        <v>0</v>
      </c>
    </row>
    <row r="139" spans="1:6" s="379" customFormat="1">
      <c r="A139" s="607">
        <v>44988</v>
      </c>
      <c r="B139" s="390"/>
      <c r="C139" s="608" t="s">
        <v>392</v>
      </c>
      <c r="D139" s="390"/>
      <c r="E139" s="491">
        <v>8802.83</v>
      </c>
      <c r="F139" s="583">
        <f t="shared" ref="F139:F146" si="7">F138+E139</f>
        <v>8802.83</v>
      </c>
    </row>
    <row r="140" spans="1:6" s="379" customFormat="1">
      <c r="A140" s="607">
        <v>45016</v>
      </c>
      <c r="B140" s="390"/>
      <c r="C140" s="608" t="s">
        <v>429</v>
      </c>
      <c r="D140" s="390"/>
      <c r="E140" s="491">
        <v>-8802.83</v>
      </c>
      <c r="F140" s="583">
        <f t="shared" si="7"/>
        <v>0</v>
      </c>
    </row>
    <row r="141" spans="1:6" s="379" customFormat="1">
      <c r="A141" s="607">
        <v>45021</v>
      </c>
      <c r="B141" s="390"/>
      <c r="C141" s="608" t="s">
        <v>393</v>
      </c>
      <c r="D141" s="390"/>
      <c r="E141" s="491">
        <v>8802.83</v>
      </c>
      <c r="F141" s="583">
        <f t="shared" si="7"/>
        <v>8802.83</v>
      </c>
    </row>
    <row r="142" spans="1:6" s="379" customFormat="1">
      <c r="A142" s="607">
        <v>45046</v>
      </c>
      <c r="B142" s="390"/>
      <c r="C142" s="608" t="s">
        <v>429</v>
      </c>
      <c r="D142" s="390"/>
      <c r="E142" s="491">
        <v>-8802.83</v>
      </c>
      <c r="F142" s="583">
        <f t="shared" si="7"/>
        <v>0</v>
      </c>
    </row>
    <row r="143" spans="1:6" s="379" customFormat="1">
      <c r="A143" s="607">
        <v>45051</v>
      </c>
      <c r="B143" s="390"/>
      <c r="C143" s="608" t="s">
        <v>394</v>
      </c>
      <c r="D143" s="390"/>
      <c r="E143" s="491">
        <v>8802.83</v>
      </c>
      <c r="F143" s="583">
        <f t="shared" si="7"/>
        <v>8802.83</v>
      </c>
    </row>
    <row r="144" spans="1:6" s="379" customFormat="1">
      <c r="A144" s="607">
        <v>45077</v>
      </c>
      <c r="B144" s="390"/>
      <c r="C144" s="608" t="s">
        <v>429</v>
      </c>
      <c r="D144" s="390"/>
      <c r="E144" s="491">
        <v>-8802.83</v>
      </c>
      <c r="F144" s="583">
        <f t="shared" si="7"/>
        <v>0</v>
      </c>
    </row>
    <row r="145" spans="1:6" s="379" customFormat="1">
      <c r="A145" s="607">
        <v>45082</v>
      </c>
      <c r="B145" s="390"/>
      <c r="C145" s="608" t="s">
        <v>395</v>
      </c>
      <c r="D145" s="390"/>
      <c r="E145" s="491">
        <v>8802.83</v>
      </c>
      <c r="F145" s="583">
        <f t="shared" si="7"/>
        <v>8802.83</v>
      </c>
    </row>
    <row r="146" spans="1:6" s="379" customFormat="1">
      <c r="A146" s="607">
        <v>45107</v>
      </c>
      <c r="B146" s="390"/>
      <c r="C146" s="608" t="s">
        <v>429</v>
      </c>
      <c r="D146" s="390"/>
      <c r="E146" s="491">
        <v>-8802.83</v>
      </c>
      <c r="F146" s="583">
        <f t="shared" si="7"/>
        <v>0</v>
      </c>
    </row>
    <row r="147" spans="1:6" s="379" customFormat="1">
      <c r="A147" s="607">
        <v>45112</v>
      </c>
      <c r="B147" s="390"/>
      <c r="C147" s="608" t="s">
        <v>396</v>
      </c>
      <c r="D147" s="390"/>
      <c r="E147" s="491">
        <v>8802.83</v>
      </c>
      <c r="F147" s="583">
        <f t="shared" ref="F147:F152" si="8">F146+E147</f>
        <v>8802.83</v>
      </c>
    </row>
    <row r="148" spans="1:6" s="379" customFormat="1">
      <c r="A148" s="607">
        <v>45138</v>
      </c>
      <c r="B148" s="390"/>
      <c r="C148" s="608" t="s">
        <v>429</v>
      </c>
      <c r="D148" s="390"/>
      <c r="E148" s="491">
        <v>-8802.83</v>
      </c>
      <c r="F148" s="583">
        <f t="shared" si="8"/>
        <v>0</v>
      </c>
    </row>
    <row r="149" spans="1:6" s="379" customFormat="1">
      <c r="A149" s="607">
        <v>45142</v>
      </c>
      <c r="B149" s="390"/>
      <c r="C149" s="608" t="s">
        <v>397</v>
      </c>
      <c r="D149" s="390"/>
      <c r="E149" s="491">
        <v>8802.83</v>
      </c>
      <c r="F149" s="583">
        <f t="shared" si="8"/>
        <v>8802.83</v>
      </c>
    </row>
    <row r="150" spans="1:6" s="379" customFormat="1">
      <c r="A150" s="710">
        <v>45138</v>
      </c>
      <c r="B150" s="711"/>
      <c r="C150" s="712" t="s">
        <v>429</v>
      </c>
      <c r="D150" s="711"/>
      <c r="E150" s="713">
        <v>-8802.83</v>
      </c>
      <c r="F150" s="714">
        <f t="shared" si="8"/>
        <v>0</v>
      </c>
    </row>
    <row r="151" spans="1:6" s="379" customFormat="1">
      <c r="A151" s="607">
        <v>45174</v>
      </c>
      <c r="B151" s="390"/>
      <c r="C151" s="608" t="s">
        <v>398</v>
      </c>
      <c r="D151" s="390"/>
      <c r="E151" s="491">
        <v>8802.83</v>
      </c>
      <c r="F151" s="721">
        <f t="shared" si="8"/>
        <v>8802.83</v>
      </c>
    </row>
    <row r="152" spans="1:6" s="379" customFormat="1">
      <c r="A152" s="607">
        <v>45199</v>
      </c>
      <c r="B152" s="390"/>
      <c r="C152" s="712" t="s">
        <v>429</v>
      </c>
      <c r="D152" s="390"/>
      <c r="E152" s="713">
        <v>-8802.83</v>
      </c>
      <c r="F152" s="721">
        <f t="shared" si="8"/>
        <v>0</v>
      </c>
    </row>
    <row r="153" spans="1:6" s="379" customFormat="1">
      <c r="A153" s="607">
        <v>45204</v>
      </c>
      <c r="B153" s="390"/>
      <c r="C153" s="608" t="s">
        <v>399</v>
      </c>
      <c r="D153" s="390"/>
      <c r="E153" s="491">
        <v>8802.83</v>
      </c>
      <c r="F153" s="721">
        <f t="shared" ref="F153:F162" si="9">F152+E153</f>
        <v>8802.83</v>
      </c>
    </row>
    <row r="154" spans="1:6" s="379" customFormat="1">
      <c r="A154" s="607">
        <v>45230</v>
      </c>
      <c r="B154" s="390"/>
      <c r="C154" s="712" t="s">
        <v>429</v>
      </c>
      <c r="D154" s="390"/>
      <c r="E154" s="713">
        <v>-8802.83</v>
      </c>
      <c r="F154" s="721">
        <f t="shared" si="9"/>
        <v>0</v>
      </c>
    </row>
    <row r="155" spans="1:6" s="379" customFormat="1">
      <c r="A155" s="607">
        <v>45233</v>
      </c>
      <c r="B155" s="390"/>
      <c r="C155" s="608" t="s">
        <v>432</v>
      </c>
      <c r="D155" s="390"/>
      <c r="E155" s="491">
        <v>8802.83</v>
      </c>
      <c r="F155" s="721">
        <f t="shared" si="9"/>
        <v>8802.83</v>
      </c>
    </row>
    <row r="156" spans="1:6" s="379" customFormat="1">
      <c r="A156" s="607">
        <v>45260</v>
      </c>
      <c r="B156" s="390"/>
      <c r="C156" s="712" t="s">
        <v>429</v>
      </c>
      <c r="D156" s="390"/>
      <c r="E156" s="713">
        <v>-8802.83</v>
      </c>
      <c r="F156" s="721">
        <f t="shared" si="9"/>
        <v>0</v>
      </c>
    </row>
    <row r="157" spans="1:6" s="379" customFormat="1">
      <c r="A157" s="607">
        <v>45265</v>
      </c>
      <c r="B157" s="390"/>
      <c r="C157" s="608" t="s">
        <v>433</v>
      </c>
      <c r="D157" s="390"/>
      <c r="E157" s="491">
        <v>8802.83</v>
      </c>
      <c r="F157" s="721">
        <f t="shared" si="9"/>
        <v>8802.83</v>
      </c>
    </row>
    <row r="158" spans="1:6" s="379" customFormat="1">
      <c r="A158" s="607">
        <v>45291</v>
      </c>
      <c r="B158" s="390"/>
      <c r="C158" s="608" t="s">
        <v>429</v>
      </c>
      <c r="D158" s="390"/>
      <c r="E158" s="491">
        <v>-8802.83</v>
      </c>
      <c r="F158" s="721">
        <f t="shared" si="9"/>
        <v>0</v>
      </c>
    </row>
    <row r="159" spans="1:6" s="379" customFormat="1">
      <c r="A159" s="607">
        <v>45296</v>
      </c>
      <c r="B159" s="390"/>
      <c r="C159" s="608" t="s">
        <v>434</v>
      </c>
      <c r="D159" s="390"/>
      <c r="E159" s="491">
        <v>8802.83</v>
      </c>
      <c r="F159" s="721">
        <f t="shared" si="9"/>
        <v>8802.83</v>
      </c>
    </row>
    <row r="160" spans="1:6" s="379" customFormat="1">
      <c r="A160" s="607">
        <v>45322</v>
      </c>
      <c r="B160" s="390"/>
      <c r="C160" s="608" t="s">
        <v>429</v>
      </c>
      <c r="D160" s="390"/>
      <c r="E160" s="491">
        <v>-8802.83</v>
      </c>
      <c r="F160" s="721">
        <f t="shared" si="9"/>
        <v>0</v>
      </c>
    </row>
    <row r="161" spans="1:6" s="379" customFormat="1">
      <c r="A161" s="607">
        <v>45351</v>
      </c>
      <c r="B161" s="390"/>
      <c r="C161" s="608" t="s">
        <v>434</v>
      </c>
      <c r="D161" s="390"/>
      <c r="E161" s="491">
        <v>8802.83</v>
      </c>
      <c r="F161" s="721">
        <f t="shared" si="9"/>
        <v>8802.83</v>
      </c>
    </row>
    <row r="162" spans="1:6" s="379" customFormat="1">
      <c r="A162" s="607">
        <v>45327</v>
      </c>
      <c r="B162" s="390"/>
      <c r="C162" s="608" t="s">
        <v>429</v>
      </c>
      <c r="D162" s="390"/>
      <c r="E162" s="491">
        <v>-8802.83</v>
      </c>
      <c r="F162" s="721">
        <f t="shared" si="9"/>
        <v>0</v>
      </c>
    </row>
    <row r="163" spans="1:6" s="379" customFormat="1">
      <c r="A163" s="607">
        <v>45356</v>
      </c>
      <c r="B163" s="390"/>
      <c r="C163" s="608" t="s">
        <v>435</v>
      </c>
      <c r="D163" s="390"/>
      <c r="E163" s="491">
        <v>8802.83</v>
      </c>
      <c r="F163" s="721">
        <f t="shared" ref="F163:F174" si="10">F162+E163</f>
        <v>8802.83</v>
      </c>
    </row>
    <row r="164" spans="1:6" s="379" customFormat="1">
      <c r="A164" s="607">
        <v>45382</v>
      </c>
      <c r="B164" s="390"/>
      <c r="C164" s="1" t="s">
        <v>436</v>
      </c>
      <c r="D164" s="390"/>
      <c r="E164" s="491">
        <v>-8802.83</v>
      </c>
      <c r="F164" s="721">
        <f t="shared" si="10"/>
        <v>0</v>
      </c>
    </row>
    <row r="165" spans="1:6" s="379" customFormat="1">
      <c r="A165" s="607">
        <v>45408</v>
      </c>
      <c r="B165" s="390"/>
      <c r="C165" s="608" t="s">
        <v>437</v>
      </c>
      <c r="D165" s="390"/>
      <c r="E165" s="491">
        <v>8802.83</v>
      </c>
      <c r="F165" s="721">
        <f t="shared" si="10"/>
        <v>8802.83</v>
      </c>
    </row>
    <row r="166" spans="1:6" s="379" customFormat="1">
      <c r="A166" s="607">
        <v>45412</v>
      </c>
      <c r="B166" s="390"/>
      <c r="C166" s="1" t="s">
        <v>436</v>
      </c>
      <c r="D166" s="390"/>
      <c r="E166" s="491">
        <v>-8802.83</v>
      </c>
      <c r="F166" s="721">
        <f t="shared" si="10"/>
        <v>0</v>
      </c>
    </row>
    <row r="167" spans="1:6" s="379" customFormat="1">
      <c r="A167" s="607">
        <v>45443</v>
      </c>
      <c r="B167" s="390"/>
      <c r="C167" s="1" t="s">
        <v>436</v>
      </c>
      <c r="D167" s="390"/>
      <c r="E167" s="491">
        <v>-8802.83</v>
      </c>
      <c r="F167" s="721">
        <f t="shared" si="10"/>
        <v>-8802.83</v>
      </c>
    </row>
    <row r="168" spans="1:6" s="379" customFormat="1">
      <c r="A168" s="607">
        <v>45415</v>
      </c>
      <c r="B168" s="390"/>
      <c r="C168" s="1" t="s">
        <v>406</v>
      </c>
      <c r="D168" s="390"/>
      <c r="E168" s="491">
        <v>8802.83</v>
      </c>
      <c r="F168" s="721">
        <f t="shared" si="10"/>
        <v>0</v>
      </c>
    </row>
    <row r="169" spans="1:6" s="379" customFormat="1">
      <c r="A169" s="607">
        <v>45473</v>
      </c>
      <c r="B169" s="390"/>
      <c r="C169" s="1" t="s">
        <v>436</v>
      </c>
      <c r="D169" s="390"/>
      <c r="E169" s="491">
        <v>-8802.83</v>
      </c>
      <c r="F169" s="721">
        <f t="shared" si="10"/>
        <v>-8802.83</v>
      </c>
    </row>
    <row r="170" spans="1:6" s="379" customFormat="1">
      <c r="A170" s="607">
        <v>45448</v>
      </c>
      <c r="B170" s="390"/>
      <c r="C170" s="1" t="s">
        <v>407</v>
      </c>
      <c r="D170" s="390"/>
      <c r="E170" s="491">
        <v>8802.83</v>
      </c>
      <c r="F170" s="721">
        <f t="shared" si="10"/>
        <v>0</v>
      </c>
    </row>
    <row r="171" spans="1:6" s="379" customFormat="1">
      <c r="A171" s="607">
        <v>45478</v>
      </c>
      <c r="B171" s="390"/>
      <c r="C171" s="1" t="s">
        <v>408</v>
      </c>
      <c r="D171" s="390"/>
      <c r="E171" s="491">
        <v>8802.83</v>
      </c>
      <c r="F171" s="721">
        <f t="shared" si="10"/>
        <v>8802.83</v>
      </c>
    </row>
    <row r="172" spans="1:6" s="379" customFormat="1">
      <c r="A172" s="607">
        <v>45504</v>
      </c>
      <c r="B172" s="390"/>
      <c r="C172" s="1" t="s">
        <v>436</v>
      </c>
      <c r="D172" s="390"/>
      <c r="E172" s="491">
        <v>-8802.83</v>
      </c>
      <c r="F172" s="721">
        <f t="shared" si="10"/>
        <v>0</v>
      </c>
    </row>
    <row r="173" spans="1:6" s="379" customFormat="1">
      <c r="A173" s="607">
        <v>45509</v>
      </c>
      <c r="B173" s="390"/>
      <c r="C173" s="1" t="s">
        <v>409</v>
      </c>
      <c r="D173" s="390"/>
      <c r="E173" s="491">
        <v>8802.83</v>
      </c>
      <c r="F173" s="721">
        <f t="shared" si="10"/>
        <v>8802.83</v>
      </c>
    </row>
    <row r="174" spans="1:6" s="379" customFormat="1">
      <c r="A174" s="607">
        <v>45534</v>
      </c>
      <c r="B174" s="390"/>
      <c r="C174" s="1" t="s">
        <v>436</v>
      </c>
      <c r="D174" s="390"/>
      <c r="E174" s="491">
        <v>-8802.83</v>
      </c>
      <c r="F174" s="721">
        <f t="shared" si="10"/>
        <v>0</v>
      </c>
    </row>
    <row r="175" spans="1:6" s="379" customFormat="1">
      <c r="A175" s="607"/>
      <c r="B175" s="390"/>
      <c r="C175" s="390"/>
      <c r="D175" s="390"/>
      <c r="E175" s="198"/>
      <c r="F175" s="583"/>
    </row>
    <row r="176" spans="1:6" s="379" customFormat="1">
      <c r="A176" s="607"/>
      <c r="B176" s="390"/>
      <c r="C176" s="390"/>
      <c r="D176" s="390"/>
      <c r="E176" s="198"/>
      <c r="F176" s="583"/>
    </row>
    <row r="177" spans="1:6" s="379" customFormat="1">
      <c r="A177" s="607"/>
      <c r="B177" s="390"/>
      <c r="C177" s="390"/>
      <c r="D177" s="390"/>
      <c r="E177" s="198"/>
      <c r="F177" s="583"/>
    </row>
    <row r="178" spans="1:6" s="400" customFormat="1" ht="13.5" thickBot="1">
      <c r="A178" s="396"/>
      <c r="B178" s="397"/>
      <c r="C178" s="397" t="s">
        <v>306</v>
      </c>
      <c r="D178" s="397"/>
      <c r="E178" s="398"/>
      <c r="F178" s="610">
        <f>F174</f>
        <v>0</v>
      </c>
    </row>
    <row r="179" spans="1:6" s="379" customFormat="1">
      <c r="A179" s="390"/>
      <c r="B179" s="390"/>
      <c r="C179" s="390"/>
      <c r="D179" s="390"/>
      <c r="E179" s="395"/>
      <c r="F179" s="390"/>
    </row>
    <row r="180" spans="1:6" s="379" customFormat="1">
      <c r="B180" s="401"/>
      <c r="C180" s="391"/>
    </row>
    <row r="181" spans="1:6" s="379" customFormat="1">
      <c r="C181" s="391"/>
    </row>
    <row r="182" spans="1:6" s="379" customFormat="1"/>
    <row r="183" spans="1:6">
      <c r="B183" s="403"/>
      <c r="C183" s="379"/>
    </row>
    <row r="184" spans="1:6">
      <c r="C184" s="379"/>
    </row>
    <row r="185" spans="1:6">
      <c r="C185" s="379"/>
    </row>
    <row r="186" spans="1:6">
      <c r="C186" s="379"/>
    </row>
    <row r="187" spans="1:6">
      <c r="C187" s="379"/>
    </row>
    <row r="188" spans="1:6">
      <c r="C188" s="379"/>
    </row>
    <row r="189" spans="1:6">
      <c r="C189" s="379"/>
    </row>
    <row r="190" spans="1:6">
      <c r="C190" s="379"/>
    </row>
    <row r="191" spans="1:6">
      <c r="C191" s="379"/>
    </row>
    <row r="192" spans="1:6">
      <c r="C192" s="379"/>
    </row>
  </sheetData>
  <mergeCells count="3">
    <mergeCell ref="A1:F1"/>
    <mergeCell ref="A2:F2"/>
    <mergeCell ref="A3:F3"/>
  </mergeCells>
  <pageMargins left="0.7" right="0.7" top="0.75" bottom="0.75" header="0.3" footer="0.3"/>
  <rowBreaks count="1" manualBreakCount="1">
    <brk id="55" max="5" man="1"/>
  </row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K130"/>
  <sheetViews>
    <sheetView topLeftCell="A97" zoomScale="99" zoomScaleNormal="99" workbookViewId="0">
      <selection activeCell="F116" sqref="F116"/>
    </sheetView>
  </sheetViews>
  <sheetFormatPr defaultColWidth="9.42578125" defaultRowHeight="12.75"/>
  <cols>
    <col min="1" max="1" width="12.5703125" style="402" customWidth="1"/>
    <col min="2" max="2" width="2.5703125" style="402" customWidth="1"/>
    <col min="3" max="3" width="41" style="402" customWidth="1"/>
    <col min="4" max="4" width="2.5703125" style="402" customWidth="1"/>
    <col min="5" max="5" width="16.5703125" style="402" customWidth="1"/>
    <col min="6" max="6" width="20.42578125" style="402" customWidth="1"/>
    <col min="7" max="7" width="10.42578125" style="402" bestFit="1" customWidth="1"/>
    <col min="8" max="8" width="13.42578125" style="402" customWidth="1"/>
    <col min="9" max="9" width="12.42578125" style="402" bestFit="1" customWidth="1"/>
    <col min="10" max="16384" width="9.42578125" style="402"/>
  </cols>
  <sheetData>
    <row r="1" spans="1:11" s="379" customFormat="1" ht="18">
      <c r="A1" s="1179" t="str">
        <f>'Review Comments'!B9</f>
        <v>COCONUT GROVE RETAIL XIII, LLC</v>
      </c>
      <c r="B1" s="1180"/>
      <c r="C1" s="1180"/>
      <c r="D1" s="1180"/>
      <c r="E1" s="1180"/>
      <c r="F1" s="1181"/>
    </row>
    <row r="2" spans="1:11" s="379" customFormat="1" ht="18">
      <c r="A2" s="1182" t="s">
        <v>438</v>
      </c>
      <c r="B2" s="1183"/>
      <c r="C2" s="1183"/>
      <c r="D2" s="1183"/>
      <c r="E2" s="1183"/>
      <c r="F2" s="1184"/>
    </row>
    <row r="3" spans="1:11" s="379" customFormat="1" ht="18.75" thickBot="1">
      <c r="A3" s="1185" t="str">
        <f>'Review Comments'!B11</f>
        <v>FOR THE MONTH 07/31/2026</v>
      </c>
      <c r="B3" s="1186"/>
      <c r="C3" s="1186"/>
      <c r="D3" s="1186"/>
      <c r="E3" s="1186"/>
      <c r="F3" s="1187"/>
    </row>
    <row r="4" spans="1:11" s="379" customFormat="1"/>
    <row r="5" spans="1:11" s="379" customFormat="1"/>
    <row r="6" spans="1:11" s="379" customFormat="1"/>
    <row r="7" spans="1:11" s="379" customFormat="1" ht="13.5" thickBot="1"/>
    <row r="8" spans="1:11" s="379" customFormat="1">
      <c r="A8" s="380"/>
      <c r="B8" s="381"/>
      <c r="C8" s="381"/>
      <c r="D8" s="381"/>
      <c r="E8" s="381"/>
      <c r="F8" s="382"/>
    </row>
    <row r="9" spans="1:11" s="379" customFormat="1" ht="26.25" thickBot="1">
      <c r="A9" s="383" t="s">
        <v>303</v>
      </c>
      <c r="B9" s="384"/>
      <c r="C9" s="384" t="s">
        <v>10</v>
      </c>
      <c r="D9" s="384"/>
      <c r="E9" s="384" t="s">
        <v>11</v>
      </c>
      <c r="F9" s="385" t="s">
        <v>105</v>
      </c>
      <c r="G9" s="386"/>
      <c r="H9" s="386"/>
      <c r="I9" s="386"/>
      <c r="J9" s="386"/>
      <c r="K9" s="386"/>
    </row>
    <row r="10" spans="1:11" s="379" customFormat="1">
      <c r="A10" s="733"/>
      <c r="B10" s="734"/>
      <c r="C10" s="734"/>
      <c r="D10" s="734"/>
      <c r="E10" s="734"/>
      <c r="F10" s="735"/>
    </row>
    <row r="11" spans="1:11" s="379" customFormat="1">
      <c r="A11" s="736">
        <v>42978</v>
      </c>
      <c r="B11" s="421"/>
      <c r="C11" s="400" t="s">
        <v>439</v>
      </c>
      <c r="D11" s="390"/>
      <c r="E11" s="395"/>
      <c r="F11" s="583">
        <v>27653.599999999999</v>
      </c>
    </row>
    <row r="12" spans="1:11" s="379" customFormat="1">
      <c r="A12" s="607">
        <v>43038</v>
      </c>
      <c r="B12" s="390"/>
      <c r="C12" s="608" t="s">
        <v>305</v>
      </c>
      <c r="D12" s="390"/>
      <c r="E12" s="491">
        <v>2880.58</v>
      </c>
      <c r="F12" s="583">
        <f t="shared" ref="F12:F71" si="0">F11+E12</f>
        <v>30534.18</v>
      </c>
      <c r="G12" s="400"/>
    </row>
    <row r="13" spans="1:11" s="379" customFormat="1">
      <c r="A13" s="607">
        <v>43068</v>
      </c>
      <c r="B13" s="390"/>
      <c r="C13" s="608" t="s">
        <v>323</v>
      </c>
      <c r="D13" s="390"/>
      <c r="E13" s="491">
        <v>2880.58</v>
      </c>
      <c r="F13" s="583">
        <f t="shared" si="0"/>
        <v>33414.76</v>
      </c>
    </row>
    <row r="14" spans="1:11" s="379" customFormat="1">
      <c r="A14" s="607">
        <v>43098</v>
      </c>
      <c r="B14" s="390"/>
      <c r="C14" s="608" t="s">
        <v>324</v>
      </c>
      <c r="D14" s="390"/>
      <c r="E14" s="491">
        <v>2880.58</v>
      </c>
      <c r="F14" s="583">
        <f t="shared" si="0"/>
        <v>36295.340000000004</v>
      </c>
    </row>
    <row r="15" spans="1:11" s="379" customFormat="1">
      <c r="A15" s="607">
        <v>43117</v>
      </c>
      <c r="B15" s="390"/>
      <c r="C15" s="608" t="s">
        <v>325</v>
      </c>
      <c r="D15" s="390"/>
      <c r="E15" s="491">
        <v>2880.58</v>
      </c>
      <c r="F15" s="583">
        <f t="shared" si="0"/>
        <v>39175.920000000006</v>
      </c>
    </row>
    <row r="16" spans="1:11" s="379" customFormat="1">
      <c r="A16" s="607">
        <v>43159</v>
      </c>
      <c r="B16" s="390"/>
      <c r="C16" s="608" t="s">
        <v>326</v>
      </c>
      <c r="D16" s="390"/>
      <c r="E16" s="491">
        <v>2880.58</v>
      </c>
      <c r="F16" s="583">
        <f t="shared" si="0"/>
        <v>42056.500000000007</v>
      </c>
    </row>
    <row r="17" spans="1:9" s="379" customFormat="1">
      <c r="A17" s="607">
        <v>43159</v>
      </c>
      <c r="B17" s="390"/>
      <c r="C17" s="608" t="s">
        <v>440</v>
      </c>
      <c r="D17" s="390"/>
      <c r="E17" s="491">
        <v>-27045</v>
      </c>
      <c r="F17" s="583">
        <f t="shared" si="0"/>
        <v>15011.500000000007</v>
      </c>
      <c r="I17" s="392"/>
    </row>
    <row r="18" spans="1:9" s="379" customFormat="1">
      <c r="A18" s="607">
        <v>43159</v>
      </c>
      <c r="B18" s="390"/>
      <c r="C18" s="608" t="s">
        <v>441</v>
      </c>
      <c r="D18" s="390"/>
      <c r="E18" s="491">
        <v>-901.65</v>
      </c>
      <c r="F18" s="583">
        <f t="shared" si="0"/>
        <v>14109.850000000008</v>
      </c>
    </row>
    <row r="19" spans="1:9" s="379" customFormat="1">
      <c r="A19" s="607">
        <v>43188</v>
      </c>
      <c r="B19" s="390"/>
      <c r="C19" s="608" t="s">
        <v>330</v>
      </c>
      <c r="D19" s="390"/>
      <c r="E19" s="491">
        <v>2880.58</v>
      </c>
      <c r="F19" s="583">
        <f t="shared" si="0"/>
        <v>16990.430000000008</v>
      </c>
    </row>
    <row r="20" spans="1:9" s="379" customFormat="1">
      <c r="A20" s="607">
        <v>43188</v>
      </c>
      <c r="B20" s="390"/>
      <c r="C20" s="608" t="s">
        <v>441</v>
      </c>
      <c r="D20" s="390"/>
      <c r="E20" s="491">
        <v>-51.29</v>
      </c>
      <c r="F20" s="583">
        <f t="shared" si="0"/>
        <v>16939.140000000007</v>
      </c>
    </row>
    <row r="21" spans="1:9" s="379" customFormat="1">
      <c r="A21" s="607">
        <v>43220</v>
      </c>
      <c r="B21" s="390"/>
      <c r="C21" s="608" t="s">
        <v>331</v>
      </c>
      <c r="D21" s="390"/>
      <c r="E21" s="491">
        <v>2880.58</v>
      </c>
      <c r="F21" s="583">
        <f t="shared" si="0"/>
        <v>19819.720000000008</v>
      </c>
    </row>
    <row r="22" spans="1:9" s="379" customFormat="1">
      <c r="A22" s="607">
        <v>43251</v>
      </c>
      <c r="B22" s="390"/>
      <c r="C22" s="608" t="s">
        <v>332</v>
      </c>
      <c r="D22" s="390"/>
      <c r="E22" s="491">
        <v>2880.58</v>
      </c>
      <c r="F22" s="583">
        <f t="shared" si="0"/>
        <v>22700.30000000001</v>
      </c>
    </row>
    <row r="23" spans="1:9" s="379" customFormat="1">
      <c r="A23" s="607">
        <v>43281</v>
      </c>
      <c r="B23" s="390"/>
      <c r="C23" s="608" t="s">
        <v>333</v>
      </c>
      <c r="D23" s="390"/>
      <c r="E23" s="491">
        <v>2880.58</v>
      </c>
      <c r="F23" s="583">
        <f t="shared" si="0"/>
        <v>25580.880000000012</v>
      </c>
    </row>
    <row r="24" spans="1:9" s="379" customFormat="1">
      <c r="A24" s="607">
        <v>43312</v>
      </c>
      <c r="B24" s="390"/>
      <c r="C24" s="608" t="s">
        <v>334</v>
      </c>
      <c r="D24" s="390"/>
      <c r="E24" s="491">
        <v>2880.58</v>
      </c>
      <c r="F24" s="583">
        <f t="shared" si="0"/>
        <v>28461.460000000014</v>
      </c>
    </row>
    <row r="25" spans="1:9" s="379" customFormat="1">
      <c r="A25" s="607">
        <v>43343</v>
      </c>
      <c r="B25" s="390"/>
      <c r="C25" s="608" t="s">
        <v>335</v>
      </c>
      <c r="D25" s="390"/>
      <c r="E25" s="491">
        <v>2880.58</v>
      </c>
      <c r="F25" s="583">
        <f t="shared" si="0"/>
        <v>31342.040000000015</v>
      </c>
    </row>
    <row r="26" spans="1:9" s="379" customFormat="1">
      <c r="A26" s="607">
        <v>43373</v>
      </c>
      <c r="B26" s="390"/>
      <c r="C26" s="608" t="s">
        <v>336</v>
      </c>
      <c r="D26" s="390"/>
      <c r="E26" s="491">
        <v>2880.58</v>
      </c>
      <c r="F26" s="583">
        <f t="shared" si="0"/>
        <v>34222.620000000017</v>
      </c>
    </row>
    <row r="27" spans="1:9" s="379" customFormat="1">
      <c r="A27" s="607">
        <v>43404</v>
      </c>
      <c r="B27" s="390"/>
      <c r="C27" s="608" t="s">
        <v>337</v>
      </c>
      <c r="D27" s="390"/>
      <c r="E27" s="491">
        <v>1639.45</v>
      </c>
      <c r="F27" s="583">
        <f t="shared" si="0"/>
        <v>35862.070000000014</v>
      </c>
    </row>
    <row r="28" spans="1:9" s="379" customFormat="1">
      <c r="A28" s="607">
        <v>43434</v>
      </c>
      <c r="B28" s="390"/>
      <c r="C28" s="608" t="s">
        <v>338</v>
      </c>
      <c r="D28" s="390"/>
      <c r="E28" s="491">
        <v>1639.45</v>
      </c>
      <c r="F28" s="583">
        <f t="shared" si="0"/>
        <v>37501.520000000011</v>
      </c>
    </row>
    <row r="29" spans="1:9" s="379" customFormat="1">
      <c r="A29" s="607">
        <v>43465</v>
      </c>
      <c r="B29" s="390"/>
      <c r="C29" s="608" t="s">
        <v>339</v>
      </c>
      <c r="D29" s="390"/>
      <c r="E29" s="491">
        <v>1639.45</v>
      </c>
      <c r="F29" s="583">
        <f t="shared" si="0"/>
        <v>39140.970000000008</v>
      </c>
    </row>
    <row r="30" spans="1:9" s="379" customFormat="1">
      <c r="A30" s="607">
        <v>43496</v>
      </c>
      <c r="B30" s="390"/>
      <c r="C30" s="608" t="s">
        <v>340</v>
      </c>
      <c r="D30" s="390"/>
      <c r="E30" s="491">
        <v>1639.45</v>
      </c>
      <c r="F30" s="583">
        <f t="shared" si="0"/>
        <v>40780.420000000006</v>
      </c>
    </row>
    <row r="31" spans="1:9" s="379" customFormat="1">
      <c r="A31" s="607">
        <v>43496</v>
      </c>
      <c r="B31" s="390"/>
      <c r="C31" s="608" t="s">
        <v>442</v>
      </c>
      <c r="D31" s="390"/>
      <c r="E31" s="491">
        <v>-31643.4</v>
      </c>
      <c r="F31" s="583">
        <f t="shared" si="0"/>
        <v>9137.0200000000041</v>
      </c>
    </row>
    <row r="32" spans="1:9" s="379" customFormat="1">
      <c r="A32" s="607">
        <v>43501</v>
      </c>
      <c r="B32" s="390"/>
      <c r="C32" s="608" t="s">
        <v>341</v>
      </c>
      <c r="D32" s="390"/>
      <c r="E32" s="491">
        <v>1639.45</v>
      </c>
      <c r="F32" s="583">
        <f t="shared" si="0"/>
        <v>10776.470000000005</v>
      </c>
    </row>
    <row r="33" spans="1:6" s="379" customFormat="1">
      <c r="A33" s="607">
        <v>43529</v>
      </c>
      <c r="B33" s="390"/>
      <c r="C33" s="608" t="s">
        <v>342</v>
      </c>
      <c r="D33" s="390"/>
      <c r="E33" s="491">
        <v>1639.45</v>
      </c>
      <c r="F33" s="583">
        <f t="shared" si="0"/>
        <v>12415.920000000006</v>
      </c>
    </row>
    <row r="34" spans="1:6" s="379" customFormat="1">
      <c r="A34" s="607">
        <v>43560</v>
      </c>
      <c r="B34" s="390"/>
      <c r="C34" s="608" t="s">
        <v>343</v>
      </c>
      <c r="D34" s="390"/>
      <c r="E34" s="491">
        <v>1639.45</v>
      </c>
      <c r="F34" s="583">
        <f t="shared" si="0"/>
        <v>14055.370000000006</v>
      </c>
    </row>
    <row r="35" spans="1:6" s="379" customFormat="1">
      <c r="A35" s="607">
        <v>43591</v>
      </c>
      <c r="B35" s="390"/>
      <c r="C35" s="608" t="s">
        <v>344</v>
      </c>
      <c r="D35" s="390"/>
      <c r="E35" s="491">
        <v>1639.45</v>
      </c>
      <c r="F35" s="583">
        <f t="shared" si="0"/>
        <v>15694.820000000007</v>
      </c>
    </row>
    <row r="36" spans="1:6" s="379" customFormat="1">
      <c r="A36" s="607">
        <v>43621</v>
      </c>
      <c r="B36" s="390"/>
      <c r="C36" s="608" t="s">
        <v>345</v>
      </c>
      <c r="D36" s="390"/>
      <c r="E36" s="491">
        <v>1639.45</v>
      </c>
      <c r="F36" s="583">
        <f t="shared" si="0"/>
        <v>17334.270000000008</v>
      </c>
    </row>
    <row r="37" spans="1:6" s="379" customFormat="1">
      <c r="A37" s="607">
        <v>43651</v>
      </c>
      <c r="B37" s="390"/>
      <c r="C37" s="608" t="s">
        <v>346</v>
      </c>
      <c r="D37" s="390"/>
      <c r="E37" s="491">
        <v>1639.45</v>
      </c>
      <c r="F37" s="583">
        <f t="shared" si="0"/>
        <v>18973.720000000008</v>
      </c>
    </row>
    <row r="38" spans="1:6" s="379" customFormat="1">
      <c r="A38" s="607">
        <v>43682</v>
      </c>
      <c r="B38" s="390"/>
      <c r="C38" s="608" t="s">
        <v>347</v>
      </c>
      <c r="D38" s="390"/>
      <c r="E38" s="491">
        <v>1639.45</v>
      </c>
      <c r="F38" s="583">
        <f t="shared" si="0"/>
        <v>20613.170000000009</v>
      </c>
    </row>
    <row r="39" spans="1:6" s="379" customFormat="1">
      <c r="A39" s="607">
        <v>43713</v>
      </c>
      <c r="B39" s="390"/>
      <c r="C39" s="608" t="s">
        <v>348</v>
      </c>
      <c r="D39" s="390"/>
      <c r="E39" s="491">
        <v>3845.3</v>
      </c>
      <c r="F39" s="583">
        <f t="shared" si="0"/>
        <v>24458.470000000008</v>
      </c>
    </row>
    <row r="40" spans="1:6" s="379" customFormat="1">
      <c r="A40" s="607">
        <v>43742</v>
      </c>
      <c r="B40" s="390"/>
      <c r="C40" s="608" t="s">
        <v>349</v>
      </c>
      <c r="D40" s="390"/>
      <c r="E40" s="491">
        <v>3845.3</v>
      </c>
      <c r="F40" s="583">
        <f t="shared" si="0"/>
        <v>28303.770000000008</v>
      </c>
    </row>
    <row r="41" spans="1:6" s="379" customFormat="1">
      <c r="A41" s="607">
        <v>43774</v>
      </c>
      <c r="B41" s="390"/>
      <c r="C41" s="608" t="s">
        <v>350</v>
      </c>
      <c r="D41" s="390"/>
      <c r="E41" s="491">
        <v>3845.3</v>
      </c>
      <c r="F41" s="583">
        <f t="shared" si="0"/>
        <v>32149.070000000007</v>
      </c>
    </row>
    <row r="42" spans="1:6" s="379" customFormat="1">
      <c r="A42" s="607">
        <v>43804</v>
      </c>
      <c r="B42" s="390"/>
      <c r="C42" s="608" t="s">
        <v>351</v>
      </c>
      <c r="D42" s="390"/>
      <c r="E42" s="491">
        <v>3845.3</v>
      </c>
      <c r="F42" s="583">
        <f t="shared" si="0"/>
        <v>35994.37000000001</v>
      </c>
    </row>
    <row r="43" spans="1:6" s="379" customFormat="1">
      <c r="A43" s="607">
        <v>43836</v>
      </c>
      <c r="B43" s="390"/>
      <c r="C43" s="608" t="s">
        <v>352</v>
      </c>
      <c r="D43" s="390"/>
      <c r="E43" s="491">
        <v>2768.8</v>
      </c>
      <c r="F43" s="583">
        <f t="shared" si="0"/>
        <v>38763.170000000013</v>
      </c>
    </row>
    <row r="44" spans="1:6" s="379" customFormat="1">
      <c r="A44" s="607">
        <v>43840</v>
      </c>
      <c r="B44" s="390"/>
      <c r="C44" s="608" t="s">
        <v>443</v>
      </c>
      <c r="D44" s="390"/>
      <c r="E44" s="491">
        <v>-36422</v>
      </c>
      <c r="F44" s="583">
        <f t="shared" si="0"/>
        <v>2341.1700000000128</v>
      </c>
    </row>
    <row r="45" spans="1:6" s="379" customFormat="1">
      <c r="A45" s="607">
        <v>43847</v>
      </c>
      <c r="B45" s="390"/>
      <c r="C45" s="608" t="s">
        <v>384</v>
      </c>
      <c r="D45" s="390"/>
      <c r="E45" s="491">
        <v>-0.02</v>
      </c>
      <c r="F45" s="583">
        <f t="shared" si="0"/>
        <v>2341.1500000000128</v>
      </c>
    </row>
    <row r="46" spans="1:6" s="379" customFormat="1">
      <c r="A46" s="607">
        <v>43866</v>
      </c>
      <c r="B46" s="390"/>
      <c r="C46" s="608" t="s">
        <v>354</v>
      </c>
      <c r="D46" s="390"/>
      <c r="E46" s="491">
        <v>2768.8</v>
      </c>
      <c r="F46" s="583">
        <f t="shared" si="0"/>
        <v>5109.9500000000135</v>
      </c>
    </row>
    <row r="47" spans="1:6" s="379" customFormat="1">
      <c r="A47" s="607">
        <v>43895</v>
      </c>
      <c r="B47" s="390"/>
      <c r="C47" s="608" t="s">
        <v>355</v>
      </c>
      <c r="D47" s="390"/>
      <c r="E47" s="491">
        <v>2768.8</v>
      </c>
      <c r="F47" s="583">
        <f t="shared" si="0"/>
        <v>7878.7500000000136</v>
      </c>
    </row>
    <row r="48" spans="1:6" s="379" customFormat="1">
      <c r="A48" s="607">
        <v>43927</v>
      </c>
      <c r="B48" s="390"/>
      <c r="C48" s="608" t="s">
        <v>356</v>
      </c>
      <c r="D48" s="390"/>
      <c r="E48" s="491">
        <v>2768.8</v>
      </c>
      <c r="F48" s="583">
        <f t="shared" si="0"/>
        <v>10647.550000000014</v>
      </c>
    </row>
    <row r="49" spans="1:6" s="379" customFormat="1">
      <c r="A49" s="607">
        <v>43956</v>
      </c>
      <c r="B49" s="390"/>
      <c r="C49" s="608" t="s">
        <v>357</v>
      </c>
      <c r="D49" s="390"/>
      <c r="E49" s="491">
        <v>2768.8</v>
      </c>
      <c r="F49" s="583">
        <f t="shared" si="0"/>
        <v>13416.350000000013</v>
      </c>
    </row>
    <row r="50" spans="1:6" s="379" customFormat="1">
      <c r="A50" s="607">
        <v>43987</v>
      </c>
      <c r="B50" s="390"/>
      <c r="C50" s="608" t="s">
        <v>358</v>
      </c>
      <c r="D50" s="390"/>
      <c r="E50" s="491">
        <v>2768.8</v>
      </c>
      <c r="F50" s="583">
        <f t="shared" si="0"/>
        <v>16185.150000000012</v>
      </c>
    </row>
    <row r="51" spans="1:6" s="379" customFormat="1">
      <c r="A51" s="607">
        <v>43998</v>
      </c>
      <c r="B51" s="390"/>
      <c r="C51" s="608" t="s">
        <v>441</v>
      </c>
      <c r="D51" s="390"/>
      <c r="E51" s="491">
        <v>-571.54999999999995</v>
      </c>
      <c r="F51" s="583">
        <f t="shared" si="0"/>
        <v>15613.600000000013</v>
      </c>
    </row>
    <row r="52" spans="1:6" s="379" customFormat="1">
      <c r="A52" s="607">
        <v>44018</v>
      </c>
      <c r="B52" s="390"/>
      <c r="C52" s="608" t="s">
        <v>359</v>
      </c>
      <c r="D52" s="390"/>
      <c r="E52" s="491">
        <v>2768.8</v>
      </c>
      <c r="F52" s="583">
        <f t="shared" si="0"/>
        <v>18382.400000000012</v>
      </c>
    </row>
    <row r="53" spans="1:6" s="379" customFormat="1">
      <c r="A53" s="607">
        <v>44035</v>
      </c>
      <c r="B53" s="390"/>
      <c r="C53" s="608" t="s">
        <v>384</v>
      </c>
      <c r="D53" s="390"/>
      <c r="E53" s="491">
        <v>-103.76</v>
      </c>
      <c r="F53" s="583">
        <f t="shared" si="0"/>
        <v>18278.640000000014</v>
      </c>
    </row>
    <row r="54" spans="1:6" s="379" customFormat="1">
      <c r="A54" s="607">
        <v>44048</v>
      </c>
      <c r="B54" s="390"/>
      <c r="C54" s="608" t="s">
        <v>360</v>
      </c>
      <c r="D54" s="390"/>
      <c r="E54" s="491">
        <v>2768.8</v>
      </c>
      <c r="F54" s="583">
        <f t="shared" si="0"/>
        <v>21047.440000000013</v>
      </c>
    </row>
    <row r="55" spans="1:6" s="379" customFormat="1">
      <c r="A55" s="607">
        <v>44078</v>
      </c>
      <c r="B55" s="390"/>
      <c r="C55" s="608" t="s">
        <v>361</v>
      </c>
      <c r="D55" s="390"/>
      <c r="E55" s="491">
        <v>2768.8</v>
      </c>
      <c r="F55" s="583">
        <f t="shared" si="0"/>
        <v>23816.240000000013</v>
      </c>
    </row>
    <row r="56" spans="1:6" s="379" customFormat="1">
      <c r="A56" s="607">
        <v>44110</v>
      </c>
      <c r="B56" s="390"/>
      <c r="C56" s="608" t="s">
        <v>362</v>
      </c>
      <c r="D56" s="390"/>
      <c r="E56" s="491">
        <v>2768.8</v>
      </c>
      <c r="F56" s="583">
        <f t="shared" si="0"/>
        <v>26585.040000000012</v>
      </c>
    </row>
    <row r="57" spans="1:6" s="379" customFormat="1">
      <c r="A57" s="607">
        <v>44141</v>
      </c>
      <c r="B57" s="390"/>
      <c r="C57" s="608" t="s">
        <v>363</v>
      </c>
      <c r="D57" s="390"/>
      <c r="E57" s="491">
        <v>3236.94</v>
      </c>
      <c r="F57" s="583">
        <f t="shared" si="0"/>
        <v>29821.98000000001</v>
      </c>
    </row>
    <row r="58" spans="1:6" s="379" customFormat="1">
      <c r="A58" s="607">
        <v>44169</v>
      </c>
      <c r="B58" s="390"/>
      <c r="C58" s="608" t="s">
        <v>364</v>
      </c>
      <c r="D58" s="390"/>
      <c r="E58" s="491">
        <v>3236.94</v>
      </c>
      <c r="F58" s="583">
        <f t="shared" si="0"/>
        <v>33058.920000000013</v>
      </c>
    </row>
    <row r="59" spans="1:6" s="379" customFormat="1">
      <c r="A59" s="607">
        <v>44201</v>
      </c>
      <c r="B59" s="390"/>
      <c r="C59" s="608" t="s">
        <v>365</v>
      </c>
      <c r="D59" s="390"/>
      <c r="E59" s="491">
        <v>3236.94</v>
      </c>
      <c r="F59" s="583">
        <f t="shared" si="0"/>
        <v>36295.860000000015</v>
      </c>
    </row>
    <row r="60" spans="1:6" s="379" customFormat="1">
      <c r="A60" s="607">
        <v>44232</v>
      </c>
      <c r="B60" s="390"/>
      <c r="C60" s="608" t="s">
        <v>366</v>
      </c>
      <c r="D60" s="390"/>
      <c r="E60" s="491">
        <v>3236.94</v>
      </c>
      <c r="F60" s="583">
        <f t="shared" si="0"/>
        <v>39532.800000000017</v>
      </c>
    </row>
    <row r="61" spans="1:6" s="379" customFormat="1">
      <c r="A61" s="607" t="s">
        <v>444</v>
      </c>
      <c r="B61" s="390"/>
      <c r="C61" s="608" t="s">
        <v>445</v>
      </c>
      <c r="D61" s="390"/>
      <c r="E61" s="491">
        <v>-29925.759999999998</v>
      </c>
      <c r="F61" s="583">
        <f t="shared" si="0"/>
        <v>9607.0400000000191</v>
      </c>
    </row>
    <row r="62" spans="1:6" s="379" customFormat="1">
      <c r="A62" s="607">
        <v>44260</v>
      </c>
      <c r="B62" s="390"/>
      <c r="C62" s="608" t="s">
        <v>367</v>
      </c>
      <c r="D62" s="390"/>
      <c r="E62" s="491">
        <v>3236.94</v>
      </c>
      <c r="F62" s="583">
        <f t="shared" si="0"/>
        <v>12843.98000000002</v>
      </c>
    </row>
    <row r="63" spans="1:6" s="379" customFormat="1">
      <c r="A63" s="607">
        <v>44291</v>
      </c>
      <c r="B63" s="390"/>
      <c r="C63" s="608" t="s">
        <v>368</v>
      </c>
      <c r="D63" s="390"/>
      <c r="E63" s="491">
        <v>3236.94</v>
      </c>
      <c r="F63" s="583">
        <f t="shared" si="0"/>
        <v>16080.92000000002</v>
      </c>
    </row>
    <row r="64" spans="1:6" s="379" customFormat="1">
      <c r="A64" s="607">
        <v>44291</v>
      </c>
      <c r="B64" s="390"/>
      <c r="C64" s="608" t="s">
        <v>445</v>
      </c>
      <c r="D64" s="390"/>
      <c r="E64" s="491">
        <v>-486</v>
      </c>
      <c r="F64" s="583">
        <f t="shared" si="0"/>
        <v>15594.92000000002</v>
      </c>
    </row>
    <row r="65" spans="1:6" s="379" customFormat="1">
      <c r="A65" s="607">
        <v>44321</v>
      </c>
      <c r="B65" s="390"/>
      <c r="C65" s="608" t="s">
        <v>430</v>
      </c>
      <c r="D65" s="390"/>
      <c r="E65" s="491">
        <v>3236.94</v>
      </c>
      <c r="F65" s="583">
        <f t="shared" si="0"/>
        <v>18831.860000000019</v>
      </c>
    </row>
    <row r="66" spans="1:6" s="379" customFormat="1">
      <c r="A66" s="607">
        <v>44351</v>
      </c>
      <c r="B66" s="390"/>
      <c r="C66" s="608" t="s">
        <v>431</v>
      </c>
      <c r="D66" s="390"/>
      <c r="E66" s="491">
        <v>3236.94</v>
      </c>
      <c r="F66" s="583">
        <f t="shared" si="0"/>
        <v>22068.800000000017</v>
      </c>
    </row>
    <row r="67" spans="1:6" s="379" customFormat="1">
      <c r="A67" s="607">
        <v>44379</v>
      </c>
      <c r="B67" s="390"/>
      <c r="C67" s="608" t="s">
        <v>371</v>
      </c>
      <c r="D67" s="390"/>
      <c r="E67" s="491">
        <v>3236.94</v>
      </c>
      <c r="F67" s="583">
        <f t="shared" si="0"/>
        <v>25305.740000000016</v>
      </c>
    </row>
    <row r="68" spans="1:6" s="379" customFormat="1">
      <c r="A68" s="607">
        <v>44413</v>
      </c>
      <c r="B68" s="390"/>
      <c r="C68" s="608" t="s">
        <v>372</v>
      </c>
      <c r="D68" s="390"/>
      <c r="E68" s="491">
        <v>3236.94</v>
      </c>
      <c r="F68" s="583">
        <f t="shared" si="0"/>
        <v>28542.680000000015</v>
      </c>
    </row>
    <row r="69" spans="1:6" s="379" customFormat="1">
      <c r="A69" s="607">
        <v>44442</v>
      </c>
      <c r="B69" s="390"/>
      <c r="C69" s="608" t="s">
        <v>373</v>
      </c>
      <c r="D69" s="390"/>
      <c r="E69" s="491">
        <v>2661.03</v>
      </c>
      <c r="F69" s="583">
        <f t="shared" si="0"/>
        <v>31203.710000000014</v>
      </c>
    </row>
    <row r="70" spans="1:6" s="379" customFormat="1">
      <c r="A70" s="607">
        <v>44474</v>
      </c>
      <c r="B70" s="390"/>
      <c r="C70" s="608" t="s">
        <v>374</v>
      </c>
      <c r="D70" s="390"/>
      <c r="E70" s="491">
        <v>2661.03</v>
      </c>
      <c r="F70" s="583">
        <f t="shared" si="0"/>
        <v>33864.740000000013</v>
      </c>
    </row>
    <row r="71" spans="1:6" s="379" customFormat="1">
      <c r="A71" s="607">
        <v>44505</v>
      </c>
      <c r="B71" s="390"/>
      <c r="C71" s="608" t="s">
        <v>375</v>
      </c>
      <c r="D71" s="390"/>
      <c r="E71" s="491">
        <v>2661.03</v>
      </c>
      <c r="F71" s="583">
        <f t="shared" si="0"/>
        <v>36525.770000000011</v>
      </c>
    </row>
    <row r="72" spans="1:6" s="379" customFormat="1">
      <c r="A72" s="607">
        <v>44536</v>
      </c>
      <c r="B72" s="390"/>
      <c r="C72" s="608" t="s">
        <v>376</v>
      </c>
      <c r="D72" s="390"/>
      <c r="E72" s="491">
        <v>2661.03</v>
      </c>
      <c r="F72" s="583">
        <f>F71+E72</f>
        <v>39186.80000000001</v>
      </c>
    </row>
    <row r="73" spans="1:6" s="379" customFormat="1">
      <c r="A73" s="607">
        <v>44592</v>
      </c>
      <c r="B73" s="390"/>
      <c r="C73" s="608" t="s">
        <v>377</v>
      </c>
      <c r="D73" s="390"/>
      <c r="E73" s="491">
        <v>2661.03</v>
      </c>
      <c r="F73" s="583">
        <f>F72+E73</f>
        <v>41847.830000000009</v>
      </c>
    </row>
    <row r="74" spans="1:6" s="379" customFormat="1">
      <c r="A74" s="607">
        <v>44592</v>
      </c>
      <c r="B74" s="390"/>
      <c r="C74" s="608" t="s">
        <v>446</v>
      </c>
      <c r="D74" s="390"/>
      <c r="E74" s="491">
        <v>-41000</v>
      </c>
      <c r="F74" s="583">
        <f>F73+E74</f>
        <v>847.83000000000902</v>
      </c>
    </row>
    <row r="75" spans="1:6" s="379" customFormat="1">
      <c r="A75" s="607">
        <v>44596</v>
      </c>
      <c r="B75" s="390"/>
      <c r="C75" s="608" t="s">
        <v>378</v>
      </c>
      <c r="D75" s="390"/>
      <c r="E75" s="491">
        <v>2661.03</v>
      </c>
      <c r="F75" s="583">
        <f>F74+E75</f>
        <v>3508.8600000000092</v>
      </c>
    </row>
    <row r="76" spans="1:6" s="379" customFormat="1">
      <c r="A76" s="607">
        <v>44624</v>
      </c>
      <c r="B76" s="390"/>
      <c r="C76" s="608" t="s">
        <v>379</v>
      </c>
      <c r="D76" s="390"/>
      <c r="E76" s="491">
        <v>2661.03</v>
      </c>
      <c r="F76" s="583">
        <f t="shared" ref="F76:F84" si="1">F75+E76</f>
        <v>6169.8900000000094</v>
      </c>
    </row>
    <row r="77" spans="1:6" s="379" customFormat="1">
      <c r="A77" s="607">
        <v>44656</v>
      </c>
      <c r="B77" s="390"/>
      <c r="C77" s="608" t="s">
        <v>380</v>
      </c>
      <c r="D77" s="390"/>
      <c r="E77" s="491">
        <v>2661.03</v>
      </c>
      <c r="F77" s="583">
        <f t="shared" si="1"/>
        <v>8830.9200000000092</v>
      </c>
    </row>
    <row r="78" spans="1:6" s="379" customFormat="1">
      <c r="A78" s="607">
        <v>44686</v>
      </c>
      <c r="B78" s="390"/>
      <c r="C78" s="608" t="s">
        <v>381</v>
      </c>
      <c r="D78" s="390"/>
      <c r="E78" s="491">
        <v>2661.03</v>
      </c>
      <c r="F78" s="583">
        <f t="shared" si="1"/>
        <v>11491.95000000001</v>
      </c>
    </row>
    <row r="79" spans="1:6" s="379" customFormat="1">
      <c r="A79" s="607">
        <v>44715</v>
      </c>
      <c r="B79" s="390"/>
      <c r="C79" s="608" t="s">
        <v>382</v>
      </c>
      <c r="D79" s="390"/>
      <c r="E79" s="491">
        <v>2661.03</v>
      </c>
      <c r="F79" s="583">
        <f t="shared" si="1"/>
        <v>14152.98000000001</v>
      </c>
    </row>
    <row r="80" spans="1:6" s="379" customFormat="1">
      <c r="A80" s="607">
        <v>44747</v>
      </c>
      <c r="B80" s="390"/>
      <c r="C80" s="608" t="s">
        <v>383</v>
      </c>
      <c r="D80" s="390"/>
      <c r="E80" s="491">
        <v>2661.03</v>
      </c>
      <c r="F80" s="583">
        <f t="shared" si="1"/>
        <v>16814.010000000009</v>
      </c>
    </row>
    <row r="81" spans="1:6" s="379" customFormat="1">
      <c r="A81" s="607">
        <v>44762</v>
      </c>
      <c r="B81" s="390"/>
      <c r="C81" s="608" t="s">
        <v>447</v>
      </c>
      <c r="D81" s="390"/>
      <c r="E81" s="491">
        <v>-1831.75</v>
      </c>
      <c r="F81" s="583">
        <f t="shared" si="1"/>
        <v>14982.260000000009</v>
      </c>
    </row>
    <row r="82" spans="1:6" s="379" customFormat="1">
      <c r="A82" s="607">
        <v>44762</v>
      </c>
      <c r="B82" s="390"/>
      <c r="C82" s="608" t="s">
        <v>447</v>
      </c>
      <c r="D82" s="390"/>
      <c r="E82" s="491">
        <v>-14282.14</v>
      </c>
      <c r="F82" s="583">
        <f t="shared" si="1"/>
        <v>700.1200000000099</v>
      </c>
    </row>
    <row r="83" spans="1:6" s="379" customFormat="1">
      <c r="A83" s="607">
        <v>44778</v>
      </c>
      <c r="B83" s="390"/>
      <c r="C83" s="608" t="s">
        <v>385</v>
      </c>
      <c r="D83" s="390"/>
      <c r="E83" s="491">
        <v>2661.03</v>
      </c>
      <c r="F83" s="583">
        <f t="shared" si="1"/>
        <v>3361.1500000000101</v>
      </c>
    </row>
    <row r="84" spans="1:6" s="379" customFormat="1">
      <c r="A84" s="607">
        <v>44806</v>
      </c>
      <c r="B84" s="390"/>
      <c r="C84" s="608" t="s">
        <v>386</v>
      </c>
      <c r="D84" s="390"/>
      <c r="E84" s="491">
        <v>2661.03</v>
      </c>
      <c r="F84" s="583">
        <f t="shared" si="1"/>
        <v>6022.1800000000103</v>
      </c>
    </row>
    <row r="85" spans="1:6" s="379" customFormat="1">
      <c r="A85" s="607">
        <v>44837</v>
      </c>
      <c r="B85" s="390"/>
      <c r="C85" s="608" t="s">
        <v>387</v>
      </c>
      <c r="D85" s="390"/>
      <c r="E85" s="491">
        <v>3587.5</v>
      </c>
      <c r="F85" s="583">
        <f t="shared" ref="F85:F90" si="2">F84+E85</f>
        <v>9609.6800000000112</v>
      </c>
    </row>
    <row r="86" spans="1:6" s="379" customFormat="1">
      <c r="A86" s="607">
        <v>44867</v>
      </c>
      <c r="B86" s="390"/>
      <c r="C86" s="608" t="s">
        <v>388</v>
      </c>
      <c r="D86" s="390"/>
      <c r="E86" s="491">
        <v>3587.5</v>
      </c>
      <c r="F86" s="583">
        <f t="shared" si="2"/>
        <v>13197.180000000011</v>
      </c>
    </row>
    <row r="87" spans="1:6" s="379" customFormat="1">
      <c r="A87" s="607">
        <v>44900</v>
      </c>
      <c r="B87" s="390"/>
      <c r="C87" s="608" t="s">
        <v>389</v>
      </c>
      <c r="D87" s="390"/>
      <c r="E87" s="491">
        <v>3587.5</v>
      </c>
      <c r="F87" s="583">
        <f t="shared" si="2"/>
        <v>16784.680000000011</v>
      </c>
    </row>
    <row r="88" spans="1:6" s="379" customFormat="1">
      <c r="A88" s="607">
        <v>44931</v>
      </c>
      <c r="B88" s="390"/>
      <c r="C88" s="608" t="s">
        <v>390</v>
      </c>
      <c r="D88" s="390"/>
      <c r="E88" s="491">
        <v>3587.5</v>
      </c>
      <c r="F88" s="583">
        <f t="shared" si="2"/>
        <v>20372.180000000011</v>
      </c>
    </row>
    <row r="89" spans="1:6" s="379" customFormat="1">
      <c r="A89" s="607">
        <v>44957</v>
      </c>
      <c r="B89" s="390"/>
      <c r="C89" s="608" t="s">
        <v>448</v>
      </c>
      <c r="D89" s="390"/>
      <c r="E89" s="491">
        <v>-13354.38</v>
      </c>
      <c r="F89" s="583">
        <f t="shared" si="2"/>
        <v>7017.800000000012</v>
      </c>
    </row>
    <row r="90" spans="1:6" s="379" customFormat="1">
      <c r="A90" s="607">
        <v>44960</v>
      </c>
      <c r="B90" s="390"/>
      <c r="C90" s="608" t="s">
        <v>391</v>
      </c>
      <c r="D90" s="390"/>
      <c r="E90" s="491">
        <v>3587.5</v>
      </c>
      <c r="F90" s="583">
        <f t="shared" si="2"/>
        <v>10605.300000000012</v>
      </c>
    </row>
    <row r="91" spans="1:6" s="379" customFormat="1">
      <c r="A91" s="607">
        <v>44988</v>
      </c>
      <c r="B91" s="390"/>
      <c r="C91" s="608" t="s">
        <v>392</v>
      </c>
      <c r="D91" s="390"/>
      <c r="E91" s="491">
        <v>3587.5</v>
      </c>
      <c r="F91" s="583">
        <f t="shared" ref="F91:F103" si="3">F90+E91</f>
        <v>14192.800000000012</v>
      </c>
    </row>
    <row r="92" spans="1:6" s="379" customFormat="1">
      <c r="A92" s="607">
        <v>45016</v>
      </c>
      <c r="B92" s="390"/>
      <c r="C92" s="608" t="s">
        <v>449</v>
      </c>
      <c r="D92" s="390"/>
      <c r="E92" s="491">
        <v>-5241.33</v>
      </c>
      <c r="F92" s="583">
        <f t="shared" si="3"/>
        <v>8951.4700000000121</v>
      </c>
    </row>
    <row r="93" spans="1:6" s="379" customFormat="1">
      <c r="A93" s="607">
        <v>45021</v>
      </c>
      <c r="B93" s="390"/>
      <c r="C93" s="608" t="s">
        <v>393</v>
      </c>
      <c r="D93" s="390"/>
      <c r="E93" s="491">
        <v>3587.5</v>
      </c>
      <c r="F93" s="583">
        <f t="shared" si="3"/>
        <v>12538.970000000012</v>
      </c>
    </row>
    <row r="94" spans="1:6" s="379" customFormat="1">
      <c r="A94" s="607">
        <v>45051</v>
      </c>
      <c r="B94" s="390"/>
      <c r="C94" s="608" t="s">
        <v>394</v>
      </c>
      <c r="D94" s="390"/>
      <c r="E94" s="491">
        <v>3587.5</v>
      </c>
      <c r="F94" s="583">
        <f t="shared" si="3"/>
        <v>16126.470000000012</v>
      </c>
    </row>
    <row r="95" spans="1:6" s="379" customFormat="1">
      <c r="A95" s="607">
        <v>45082</v>
      </c>
      <c r="B95" s="390"/>
      <c r="C95" s="608" t="s">
        <v>395</v>
      </c>
      <c r="D95" s="390"/>
      <c r="E95" s="491">
        <v>3587.5</v>
      </c>
      <c r="F95" s="583">
        <f t="shared" si="3"/>
        <v>19713.970000000012</v>
      </c>
    </row>
    <row r="96" spans="1:6" s="379" customFormat="1">
      <c r="A96" s="607">
        <v>45112</v>
      </c>
      <c r="B96" s="390"/>
      <c r="C96" s="608" t="s">
        <v>396</v>
      </c>
      <c r="D96" s="390"/>
      <c r="E96" s="491">
        <v>3587.5</v>
      </c>
      <c r="F96" s="583">
        <f t="shared" si="3"/>
        <v>23301.470000000012</v>
      </c>
    </row>
    <row r="97" spans="1:6" s="379" customFormat="1">
      <c r="A97" s="607">
        <v>45142</v>
      </c>
      <c r="B97" s="390"/>
      <c r="C97" s="608" t="s">
        <v>397</v>
      </c>
      <c r="D97" s="390"/>
      <c r="E97" s="491">
        <v>3587.5</v>
      </c>
      <c r="F97" s="583">
        <f t="shared" si="3"/>
        <v>26888.970000000012</v>
      </c>
    </row>
    <row r="98" spans="1:6" s="379" customFormat="1">
      <c r="A98" s="607">
        <v>45174</v>
      </c>
      <c r="B98" s="390"/>
      <c r="C98" s="608" t="s">
        <v>398</v>
      </c>
      <c r="D98" s="390"/>
      <c r="E98" s="491">
        <v>15400</v>
      </c>
      <c r="F98" s="583">
        <f t="shared" si="3"/>
        <v>42288.970000000016</v>
      </c>
    </row>
    <row r="99" spans="1:6" s="379" customFormat="1">
      <c r="A99" s="607">
        <v>45204</v>
      </c>
      <c r="B99" s="390"/>
      <c r="C99" s="608" t="s">
        <v>399</v>
      </c>
      <c r="D99" s="390"/>
      <c r="E99" s="491">
        <v>15400</v>
      </c>
      <c r="F99" s="583">
        <f t="shared" si="3"/>
        <v>57688.970000000016</v>
      </c>
    </row>
    <row r="100" spans="1:6" s="379" customFormat="1">
      <c r="A100" s="607">
        <v>45233</v>
      </c>
      <c r="B100" s="390"/>
      <c r="C100" s="608" t="s">
        <v>432</v>
      </c>
      <c r="D100" s="390"/>
      <c r="E100" s="491">
        <v>15400</v>
      </c>
      <c r="F100" s="583">
        <f t="shared" si="3"/>
        <v>73088.970000000016</v>
      </c>
    </row>
    <row r="101" spans="1:6" s="379" customFormat="1">
      <c r="A101" s="737">
        <v>45260</v>
      </c>
      <c r="B101" s="390"/>
      <c r="C101" s="1" t="s">
        <v>450</v>
      </c>
      <c r="D101" s="390"/>
      <c r="E101" s="491">
        <v>-3538.04</v>
      </c>
      <c r="F101" s="583">
        <f t="shared" si="3"/>
        <v>69550.930000000022</v>
      </c>
    </row>
    <row r="102" spans="1:6" s="379" customFormat="1">
      <c r="A102" s="737">
        <v>45265</v>
      </c>
      <c r="B102" s="390"/>
      <c r="C102" s="1" t="s">
        <v>401</v>
      </c>
      <c r="D102" s="390"/>
      <c r="E102" s="738">
        <v>15400</v>
      </c>
      <c r="F102" s="583">
        <f t="shared" si="3"/>
        <v>84950.930000000022</v>
      </c>
    </row>
    <row r="103" spans="1:6" s="379" customFormat="1">
      <c r="A103" s="737">
        <v>45633</v>
      </c>
      <c r="B103" s="390"/>
      <c r="C103" s="608" t="s">
        <v>451</v>
      </c>
      <c r="D103" s="390"/>
      <c r="E103" s="738">
        <v>462.55</v>
      </c>
      <c r="F103" s="583">
        <f t="shared" si="3"/>
        <v>85413.480000000025</v>
      </c>
    </row>
    <row r="104" spans="1:6" s="379" customFormat="1">
      <c r="A104" s="737">
        <v>45296</v>
      </c>
      <c r="B104" s="390"/>
      <c r="C104" s="1" t="s">
        <v>402</v>
      </c>
      <c r="D104" s="390"/>
      <c r="E104" s="738">
        <v>15400</v>
      </c>
      <c r="F104" s="583">
        <f t="shared" ref="F104:F114" si="4">F103+E104</f>
        <v>100813.48000000003</v>
      </c>
    </row>
    <row r="105" spans="1:6" s="379" customFormat="1">
      <c r="A105" s="737">
        <v>45287</v>
      </c>
      <c r="B105" s="390"/>
      <c r="C105" s="1" t="s">
        <v>452</v>
      </c>
      <c r="D105" s="390"/>
      <c r="E105" s="738">
        <v>-15789.49</v>
      </c>
      <c r="F105" s="583">
        <f t="shared" si="4"/>
        <v>85023.99000000002</v>
      </c>
    </row>
    <row r="106" spans="1:6" s="379" customFormat="1">
      <c r="A106" s="737">
        <v>45327</v>
      </c>
      <c r="B106" s="390"/>
      <c r="C106" s="1" t="s">
        <v>403</v>
      </c>
      <c r="D106" s="390"/>
      <c r="E106" s="738">
        <v>15400</v>
      </c>
      <c r="F106" s="583">
        <f t="shared" si="4"/>
        <v>100423.99000000002</v>
      </c>
    </row>
    <row r="107" spans="1:6" s="379" customFormat="1">
      <c r="A107" s="737">
        <v>45356</v>
      </c>
      <c r="B107" s="390"/>
      <c r="C107" s="1" t="s">
        <v>404</v>
      </c>
      <c r="D107" s="390"/>
      <c r="E107" s="395">
        <v>15400</v>
      </c>
      <c r="F107" s="583">
        <f t="shared" si="4"/>
        <v>115823.99000000002</v>
      </c>
    </row>
    <row r="108" spans="1:6" s="379" customFormat="1">
      <c r="A108" s="737">
        <v>45387</v>
      </c>
      <c r="B108" s="390"/>
      <c r="C108" s="1" t="s">
        <v>405</v>
      </c>
      <c r="D108" s="390"/>
      <c r="E108" s="395">
        <v>15400</v>
      </c>
      <c r="F108" s="583">
        <f t="shared" si="4"/>
        <v>131223.99000000002</v>
      </c>
    </row>
    <row r="109" spans="1:6" s="379" customFormat="1">
      <c r="A109" s="737">
        <v>45406</v>
      </c>
      <c r="B109" s="390"/>
      <c r="C109" s="1" t="s">
        <v>453</v>
      </c>
      <c r="D109" s="390"/>
      <c r="E109" s="395">
        <v>-131000</v>
      </c>
      <c r="F109" s="583">
        <f t="shared" si="4"/>
        <v>223.99000000001979</v>
      </c>
    </row>
    <row r="110" spans="1:6" s="379" customFormat="1">
      <c r="A110" s="737">
        <v>45415</v>
      </c>
      <c r="B110" s="390"/>
      <c r="C110" s="1" t="s">
        <v>406</v>
      </c>
      <c r="D110" s="390"/>
      <c r="E110" s="395">
        <v>15400</v>
      </c>
      <c r="F110" s="583">
        <f t="shared" si="4"/>
        <v>15623.99000000002</v>
      </c>
    </row>
    <row r="111" spans="1:6" s="379" customFormat="1">
      <c r="A111" s="737">
        <v>45448</v>
      </c>
      <c r="B111" s="390"/>
      <c r="C111" s="1" t="s">
        <v>407</v>
      </c>
      <c r="D111" s="390"/>
      <c r="E111" s="395">
        <v>15400</v>
      </c>
      <c r="F111" s="583">
        <f t="shared" si="4"/>
        <v>31023.99000000002</v>
      </c>
    </row>
    <row r="112" spans="1:6" s="379" customFormat="1">
      <c r="A112" s="737">
        <v>45478</v>
      </c>
      <c r="B112" s="390"/>
      <c r="C112" s="1" t="s">
        <v>408</v>
      </c>
      <c r="D112" s="390"/>
      <c r="E112" s="395">
        <v>15400</v>
      </c>
      <c r="F112" s="583">
        <f t="shared" si="4"/>
        <v>46423.99000000002</v>
      </c>
    </row>
    <row r="113" spans="1:9" s="379" customFormat="1">
      <c r="A113" s="737">
        <v>45509</v>
      </c>
      <c r="B113" s="390"/>
      <c r="C113" s="1" t="s">
        <v>409</v>
      </c>
      <c r="D113" s="390"/>
      <c r="E113" s="395">
        <v>15400</v>
      </c>
      <c r="F113" s="583">
        <f t="shared" si="4"/>
        <v>61823.99000000002</v>
      </c>
    </row>
    <row r="114" spans="1:9" s="379" customFormat="1">
      <c r="A114" s="737">
        <v>45541</v>
      </c>
      <c r="B114" s="390"/>
      <c r="C114" s="1" t="s">
        <v>415</v>
      </c>
      <c r="D114" s="390"/>
      <c r="E114" s="395">
        <v>-61823.99</v>
      </c>
      <c r="F114" s="583">
        <f t="shared" si="4"/>
        <v>0</v>
      </c>
    </row>
    <row r="115" spans="1:9" s="379" customFormat="1">
      <c r="A115" s="737"/>
      <c r="B115" s="390"/>
      <c r="C115" s="1"/>
      <c r="D115" s="390"/>
      <c r="E115" s="395"/>
      <c r="F115" s="393"/>
    </row>
    <row r="116" spans="1:9" s="400" customFormat="1" ht="13.5" thickBot="1">
      <c r="A116" s="396"/>
      <c r="B116" s="397"/>
      <c r="C116" s="397" t="s">
        <v>306</v>
      </c>
      <c r="D116" s="397"/>
      <c r="E116" s="398"/>
      <c r="F116" s="739">
        <f>F114</f>
        <v>0</v>
      </c>
      <c r="G116" s="741"/>
      <c r="H116" s="379"/>
      <c r="I116" s="392"/>
    </row>
    <row r="117" spans="1:9" s="379" customFormat="1">
      <c r="A117" s="390"/>
      <c r="B117" s="390"/>
      <c r="C117" s="390"/>
      <c r="D117" s="390"/>
      <c r="E117" s="395"/>
      <c r="F117" s="390"/>
      <c r="G117" s="741"/>
      <c r="H117" s="392"/>
    </row>
    <row r="118" spans="1:9" s="379" customFormat="1">
      <c r="B118" s="401"/>
      <c r="C118" s="391"/>
    </row>
    <row r="119" spans="1:9" s="379" customFormat="1">
      <c r="C119" s="391"/>
    </row>
    <row r="120" spans="1:9" s="379" customFormat="1"/>
    <row r="121" spans="1:9">
      <c r="B121" s="403"/>
      <c r="C121" s="379"/>
    </row>
    <row r="122" spans="1:9">
      <c r="C122" s="379"/>
    </row>
    <row r="123" spans="1:9">
      <c r="C123" s="379"/>
    </row>
    <row r="124" spans="1:9">
      <c r="C124" s="379"/>
    </row>
    <row r="125" spans="1:9">
      <c r="C125" s="379"/>
    </row>
    <row r="126" spans="1:9">
      <c r="C126" s="379"/>
    </row>
    <row r="127" spans="1:9">
      <c r="C127" s="379"/>
    </row>
    <row r="128" spans="1:9">
      <c r="C128" s="379"/>
    </row>
    <row r="129" spans="3:3">
      <c r="C129" s="379"/>
    </row>
    <row r="130" spans="3:3">
      <c r="C130" s="379"/>
    </row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>
    <pageSetUpPr autoPageBreaks="0" fitToPage="1"/>
  </sheetPr>
  <dimension ref="A1:K79"/>
  <sheetViews>
    <sheetView topLeftCell="A44" workbookViewId="0">
      <selection activeCell="B64" sqref="B64"/>
    </sheetView>
  </sheetViews>
  <sheetFormatPr defaultColWidth="9.42578125" defaultRowHeight="12.75"/>
  <cols>
    <col min="1" max="1" width="12.5703125" style="402" customWidth="1"/>
    <col min="2" max="2" width="2.5703125" style="402" customWidth="1"/>
    <col min="3" max="3" width="41" style="402" customWidth="1"/>
    <col min="4" max="4" width="2.5703125" style="402" customWidth="1"/>
    <col min="5" max="5" width="16.5703125" style="402" customWidth="1"/>
    <col min="6" max="6" width="25.42578125" style="402" customWidth="1"/>
    <col min="7" max="7" width="9.42578125" style="402"/>
    <col min="8" max="8" width="11.5703125" style="402" bestFit="1" customWidth="1"/>
    <col min="9" max="9" width="11.42578125" style="402" bestFit="1" customWidth="1"/>
    <col min="10" max="16384" width="9.42578125" style="402"/>
  </cols>
  <sheetData>
    <row r="1" spans="1:11" s="379" customFormat="1" ht="18">
      <c r="A1" s="1179" t="str">
        <f>'Review Comments'!B9</f>
        <v>COCONUT GROVE RETAIL XIII, LLC</v>
      </c>
      <c r="B1" s="1180"/>
      <c r="C1" s="1180"/>
      <c r="D1" s="1180"/>
      <c r="E1" s="1180"/>
      <c r="F1" s="1181"/>
    </row>
    <row r="2" spans="1:11" s="379" customFormat="1" ht="18">
      <c r="A2" s="1182" t="s">
        <v>454</v>
      </c>
      <c r="B2" s="1183"/>
      <c r="C2" s="1183"/>
      <c r="D2" s="1183"/>
      <c r="E2" s="1183"/>
      <c r="F2" s="1184"/>
    </row>
    <row r="3" spans="1:11" s="379" customFormat="1" ht="18.75" thickBot="1">
      <c r="A3" s="1185" t="str">
        <f>'Review Comments'!B11</f>
        <v>FOR THE MONTH 07/31/2026</v>
      </c>
      <c r="B3" s="1186"/>
      <c r="C3" s="1186"/>
      <c r="D3" s="1186"/>
      <c r="E3" s="1186"/>
      <c r="F3" s="1187"/>
    </row>
    <row r="4" spans="1:11" s="379" customFormat="1"/>
    <row r="5" spans="1:11" s="379" customFormat="1"/>
    <row r="6" spans="1:11" s="379" customFormat="1"/>
    <row r="7" spans="1:11" s="379" customFormat="1" ht="13.5" thickBot="1"/>
    <row r="8" spans="1:11" s="379" customFormat="1">
      <c r="A8" s="380"/>
      <c r="B8" s="381"/>
      <c r="C8" s="381"/>
      <c r="D8" s="381"/>
      <c r="E8" s="381"/>
      <c r="F8" s="382"/>
    </row>
    <row r="9" spans="1:11" s="379" customFormat="1" ht="26.25" thickBot="1">
      <c r="A9" s="383" t="s">
        <v>303</v>
      </c>
      <c r="B9" s="384"/>
      <c r="C9" s="384" t="s">
        <v>10</v>
      </c>
      <c r="D9" s="384"/>
      <c r="E9" s="384" t="s">
        <v>11</v>
      </c>
      <c r="F9" s="385" t="s">
        <v>105</v>
      </c>
      <c r="G9" s="386"/>
      <c r="H9" s="386"/>
      <c r="I9" s="386"/>
      <c r="J9" s="386"/>
      <c r="K9" s="386"/>
    </row>
    <row r="10" spans="1:11" s="379" customFormat="1">
      <c r="A10" s="387"/>
      <c r="F10" s="388"/>
    </row>
    <row r="11" spans="1:11" s="379" customFormat="1">
      <c r="A11" s="475">
        <v>42978</v>
      </c>
      <c r="B11" s="421"/>
      <c r="C11" s="550" t="s">
        <v>455</v>
      </c>
      <c r="D11" s="390"/>
      <c r="E11" s="395">
        <v>45746.93</v>
      </c>
      <c r="F11" s="551">
        <f>E11</f>
        <v>45746.93</v>
      </c>
    </row>
    <row r="12" spans="1:11" s="379" customFormat="1">
      <c r="A12" s="607">
        <v>43038</v>
      </c>
      <c r="B12" s="390"/>
      <c r="C12" s="608" t="s">
        <v>305</v>
      </c>
      <c r="D12" s="390"/>
      <c r="E12" s="491">
        <v>4985.7299999999996</v>
      </c>
      <c r="F12" s="551">
        <f t="shared" ref="F12:F20" si="0">F11+E12</f>
        <v>50732.66</v>
      </c>
      <c r="G12" s="400"/>
    </row>
    <row r="13" spans="1:11" s="379" customFormat="1">
      <c r="A13" s="607">
        <v>43068</v>
      </c>
      <c r="B13" s="390"/>
      <c r="C13" s="608" t="s">
        <v>323</v>
      </c>
      <c r="D13" s="390"/>
      <c r="E13" s="491">
        <v>4985.7299999999996</v>
      </c>
      <c r="F13" s="551">
        <f t="shared" si="0"/>
        <v>55718.39</v>
      </c>
      <c r="G13" s="400"/>
    </row>
    <row r="14" spans="1:11" s="379" customFormat="1">
      <c r="A14" s="607">
        <v>43098</v>
      </c>
      <c r="B14" s="390"/>
      <c r="C14" s="608" t="s">
        <v>324</v>
      </c>
      <c r="D14" s="390"/>
      <c r="E14" s="491">
        <v>4985.7299999999996</v>
      </c>
      <c r="F14" s="551">
        <f t="shared" si="0"/>
        <v>60704.119999999995</v>
      </c>
      <c r="G14" s="400"/>
    </row>
    <row r="15" spans="1:11" s="379" customFormat="1">
      <c r="A15" s="607">
        <v>43117</v>
      </c>
      <c r="B15" s="390"/>
      <c r="C15" s="608" t="s">
        <v>325</v>
      </c>
      <c r="D15" s="390"/>
      <c r="E15" s="491">
        <v>4985.7299999999996</v>
      </c>
      <c r="F15" s="551">
        <f t="shared" si="0"/>
        <v>65689.849999999991</v>
      </c>
      <c r="G15" s="400"/>
    </row>
    <row r="16" spans="1:11" s="379" customFormat="1">
      <c r="A16" s="607">
        <v>43159</v>
      </c>
      <c r="B16" s="390"/>
      <c r="C16" s="608" t="s">
        <v>326</v>
      </c>
      <c r="D16" s="390"/>
      <c r="E16" s="491">
        <v>4985.7299999999996</v>
      </c>
      <c r="F16" s="551">
        <f t="shared" si="0"/>
        <v>70675.579999999987</v>
      </c>
      <c r="G16" s="400"/>
    </row>
    <row r="17" spans="1:7" s="379" customFormat="1">
      <c r="A17" s="607">
        <v>43190</v>
      </c>
      <c r="B17" s="390"/>
      <c r="C17" s="608" t="s">
        <v>330</v>
      </c>
      <c r="D17" s="390"/>
      <c r="E17" s="491">
        <v>4985.7299999999996</v>
      </c>
      <c r="F17" s="551">
        <f t="shared" si="0"/>
        <v>75661.309999999983</v>
      </c>
      <c r="G17" s="400"/>
    </row>
    <row r="18" spans="1:7" s="379" customFormat="1">
      <c r="A18" s="607">
        <v>43220</v>
      </c>
      <c r="B18" s="390"/>
      <c r="C18" s="608" t="s">
        <v>331</v>
      </c>
      <c r="D18" s="390"/>
      <c r="E18" s="491">
        <v>4985.7299999999996</v>
      </c>
      <c r="F18" s="551">
        <f t="shared" si="0"/>
        <v>80647.039999999979</v>
      </c>
      <c r="G18" s="400"/>
    </row>
    <row r="19" spans="1:7" s="379" customFormat="1">
      <c r="A19" s="607">
        <v>43251</v>
      </c>
      <c r="B19" s="390"/>
      <c r="C19" s="608" t="s">
        <v>332</v>
      </c>
      <c r="D19" s="390"/>
      <c r="E19" s="491">
        <v>4985.7299999999996</v>
      </c>
      <c r="F19" s="551">
        <f t="shared" si="0"/>
        <v>85632.769999999975</v>
      </c>
      <c r="G19" s="400"/>
    </row>
    <row r="20" spans="1:7" s="379" customFormat="1">
      <c r="A20" s="607">
        <v>43281</v>
      </c>
      <c r="B20" s="390"/>
      <c r="C20" s="608" t="s">
        <v>333</v>
      </c>
      <c r="D20" s="390"/>
      <c r="E20" s="491">
        <v>4985.7299999999996</v>
      </c>
      <c r="F20" s="551">
        <f t="shared" si="0"/>
        <v>90618.499999999971</v>
      </c>
      <c r="G20" s="400"/>
    </row>
    <row r="21" spans="1:7" s="379" customFormat="1">
      <c r="A21" s="607">
        <v>43312</v>
      </c>
      <c r="B21" s="390"/>
      <c r="C21" s="608" t="s">
        <v>334</v>
      </c>
      <c r="D21" s="390"/>
      <c r="E21" s="491">
        <v>4985.7299999999996</v>
      </c>
      <c r="F21" s="551">
        <f t="shared" ref="F21:F60" si="1">F20+E21</f>
        <v>95604.229999999967</v>
      </c>
      <c r="G21" s="400"/>
    </row>
    <row r="22" spans="1:7" s="379" customFormat="1">
      <c r="A22" s="607">
        <v>43343</v>
      </c>
      <c r="B22" s="390"/>
      <c r="C22" s="608" t="s">
        <v>335</v>
      </c>
      <c r="D22" s="390"/>
      <c r="E22" s="491">
        <v>4985.7299999999996</v>
      </c>
      <c r="F22" s="551">
        <f t="shared" si="1"/>
        <v>100589.95999999996</v>
      </c>
      <c r="G22" s="400"/>
    </row>
    <row r="23" spans="1:7" s="379" customFormat="1">
      <c r="A23" s="607">
        <v>43373</v>
      </c>
      <c r="B23" s="390"/>
      <c r="C23" s="608" t="s">
        <v>336</v>
      </c>
      <c r="D23" s="390"/>
      <c r="E23" s="491">
        <v>4985.7299999999996</v>
      </c>
      <c r="F23" s="551">
        <f t="shared" si="1"/>
        <v>105575.68999999996</v>
      </c>
      <c r="G23" s="400"/>
    </row>
    <row r="24" spans="1:7" s="379" customFormat="1">
      <c r="A24" s="607">
        <v>43404</v>
      </c>
      <c r="B24" s="390"/>
      <c r="C24" s="608" t="s">
        <v>337</v>
      </c>
      <c r="D24" s="390"/>
      <c r="E24" s="491">
        <v>4985.7299999999996</v>
      </c>
      <c r="F24" s="551">
        <f t="shared" si="1"/>
        <v>110561.41999999995</v>
      </c>
      <c r="G24" s="400"/>
    </row>
    <row r="25" spans="1:7" s="379" customFormat="1">
      <c r="A25" s="607">
        <v>43434</v>
      </c>
      <c r="B25" s="390"/>
      <c r="C25" s="608" t="s">
        <v>338</v>
      </c>
      <c r="D25" s="390"/>
      <c r="E25" s="491">
        <v>4985.7299999999996</v>
      </c>
      <c r="F25" s="551">
        <f t="shared" si="1"/>
        <v>115547.14999999995</v>
      </c>
      <c r="G25" s="400"/>
    </row>
    <row r="26" spans="1:7" s="379" customFormat="1">
      <c r="A26" s="607">
        <v>43465</v>
      </c>
      <c r="B26" s="390"/>
      <c r="C26" s="608" t="s">
        <v>339</v>
      </c>
      <c r="D26" s="390"/>
      <c r="E26" s="491">
        <v>4985.7299999999996</v>
      </c>
      <c r="F26" s="551">
        <f t="shared" si="1"/>
        <v>120532.87999999995</v>
      </c>
      <c r="G26" s="400"/>
    </row>
    <row r="27" spans="1:7" s="379" customFormat="1">
      <c r="A27" s="607">
        <v>43496</v>
      </c>
      <c r="B27" s="390"/>
      <c r="C27" s="608" t="s">
        <v>340</v>
      </c>
      <c r="D27" s="390"/>
      <c r="E27" s="491">
        <v>4985.7299999999996</v>
      </c>
      <c r="F27" s="551">
        <f t="shared" si="1"/>
        <v>125518.60999999994</v>
      </c>
      <c r="G27" s="400"/>
    </row>
    <row r="28" spans="1:7" s="379" customFormat="1">
      <c r="A28" s="607">
        <v>43524</v>
      </c>
      <c r="B28" s="390"/>
      <c r="C28" s="608" t="s">
        <v>341</v>
      </c>
      <c r="D28" s="390"/>
      <c r="E28" s="491">
        <v>4985.7299999999996</v>
      </c>
      <c r="F28" s="551">
        <f t="shared" si="1"/>
        <v>130504.33999999994</v>
      </c>
      <c r="G28" s="400"/>
    </row>
    <row r="29" spans="1:7" s="379" customFormat="1">
      <c r="A29" s="607">
        <v>43555</v>
      </c>
      <c r="B29" s="390"/>
      <c r="C29" s="608" t="s">
        <v>342</v>
      </c>
      <c r="D29" s="390"/>
      <c r="E29" s="491">
        <v>4985.7299999999996</v>
      </c>
      <c r="F29" s="551">
        <f t="shared" si="1"/>
        <v>135490.06999999995</v>
      </c>
      <c r="G29" s="400"/>
    </row>
    <row r="30" spans="1:7" s="379" customFormat="1">
      <c r="A30" s="607">
        <v>43585</v>
      </c>
      <c r="B30" s="390"/>
      <c r="C30" s="608" t="s">
        <v>343</v>
      </c>
      <c r="D30" s="390"/>
      <c r="E30" s="491">
        <v>4985.7299999999996</v>
      </c>
      <c r="F30" s="551">
        <f t="shared" si="1"/>
        <v>140475.79999999996</v>
      </c>
      <c r="G30" s="400"/>
    </row>
    <row r="31" spans="1:7" s="379" customFormat="1">
      <c r="A31" s="607">
        <v>43616</v>
      </c>
      <c r="B31" s="390"/>
      <c r="C31" s="608" t="s">
        <v>344</v>
      </c>
      <c r="D31" s="390"/>
      <c r="E31" s="491">
        <v>4985.7299999999996</v>
      </c>
      <c r="F31" s="551">
        <f t="shared" si="1"/>
        <v>145461.52999999997</v>
      </c>
      <c r="G31" s="400"/>
    </row>
    <row r="32" spans="1:7" s="379" customFormat="1">
      <c r="A32" s="607">
        <v>43646</v>
      </c>
      <c r="B32" s="390"/>
      <c r="C32" s="608" t="s">
        <v>345</v>
      </c>
      <c r="D32" s="390"/>
      <c r="E32" s="491">
        <v>4985.7299999999996</v>
      </c>
      <c r="F32" s="551">
        <f t="shared" si="1"/>
        <v>150447.25999999998</v>
      </c>
      <c r="G32" s="400"/>
    </row>
    <row r="33" spans="1:7" s="379" customFormat="1">
      <c r="A33" s="607">
        <v>43677</v>
      </c>
      <c r="B33" s="390"/>
      <c r="C33" s="608" t="s">
        <v>346</v>
      </c>
      <c r="D33" s="390"/>
      <c r="E33" s="491">
        <v>4985.7299999999996</v>
      </c>
      <c r="F33" s="551">
        <f t="shared" si="1"/>
        <v>155432.99</v>
      </c>
      <c r="G33" s="400"/>
    </row>
    <row r="34" spans="1:7" s="379" customFormat="1">
      <c r="A34" s="607">
        <v>43708</v>
      </c>
      <c r="B34" s="390"/>
      <c r="C34" s="608" t="s">
        <v>347</v>
      </c>
      <c r="D34" s="390"/>
      <c r="E34" s="491">
        <v>4985.7299999999996</v>
      </c>
      <c r="F34" s="551">
        <f t="shared" si="1"/>
        <v>160418.72</v>
      </c>
      <c r="G34" s="400"/>
    </row>
    <row r="35" spans="1:7" s="379" customFormat="1">
      <c r="A35" s="607">
        <v>43738</v>
      </c>
      <c r="B35" s="390"/>
      <c r="C35" s="608" t="s">
        <v>348</v>
      </c>
      <c r="D35" s="390"/>
      <c r="E35" s="491">
        <v>4985.7299999999996</v>
      </c>
      <c r="F35" s="551">
        <f t="shared" si="1"/>
        <v>165404.45000000001</v>
      </c>
      <c r="G35" s="400"/>
    </row>
    <row r="36" spans="1:7" s="379" customFormat="1">
      <c r="A36" s="607">
        <v>43742</v>
      </c>
      <c r="B36" s="390"/>
      <c r="C36" s="608" t="s">
        <v>349</v>
      </c>
      <c r="D36" s="390"/>
      <c r="E36" s="491">
        <v>4985.7299999999996</v>
      </c>
      <c r="F36" s="551">
        <f t="shared" si="1"/>
        <v>170390.18000000002</v>
      </c>
      <c r="G36" s="400"/>
    </row>
    <row r="37" spans="1:7" s="379" customFormat="1">
      <c r="A37" s="607">
        <v>43774</v>
      </c>
      <c r="B37" s="390"/>
      <c r="C37" s="608" t="s">
        <v>350</v>
      </c>
      <c r="D37" s="390"/>
      <c r="E37" s="491">
        <v>4985.7299999999996</v>
      </c>
      <c r="F37" s="551">
        <f t="shared" si="1"/>
        <v>175375.91000000003</v>
      </c>
      <c r="G37" s="400"/>
    </row>
    <row r="38" spans="1:7" s="379" customFormat="1">
      <c r="A38" s="607">
        <v>43804</v>
      </c>
      <c r="B38" s="390"/>
      <c r="C38" s="608" t="s">
        <v>351</v>
      </c>
      <c r="D38" s="390"/>
      <c r="E38" s="491">
        <v>4985.7299999999996</v>
      </c>
      <c r="F38" s="551">
        <f t="shared" si="1"/>
        <v>180361.64000000004</v>
      </c>
      <c r="G38" s="400"/>
    </row>
    <row r="39" spans="1:7" s="379" customFormat="1">
      <c r="A39" s="607">
        <v>43836</v>
      </c>
      <c r="B39" s="390"/>
      <c r="C39" s="608" t="s">
        <v>352</v>
      </c>
      <c r="D39" s="390"/>
      <c r="E39" s="491">
        <v>4985.7299999999996</v>
      </c>
      <c r="F39" s="551">
        <f t="shared" si="1"/>
        <v>185347.37000000005</v>
      </c>
      <c r="G39" s="400"/>
    </row>
    <row r="40" spans="1:7" s="379" customFormat="1">
      <c r="A40" s="607">
        <v>43866</v>
      </c>
      <c r="B40" s="390"/>
      <c r="C40" s="608" t="s">
        <v>354</v>
      </c>
      <c r="D40" s="390"/>
      <c r="E40" s="491">
        <v>4985.7299999999996</v>
      </c>
      <c r="F40" s="551">
        <f t="shared" si="1"/>
        <v>190333.10000000006</v>
      </c>
      <c r="G40" s="400"/>
    </row>
    <row r="41" spans="1:7" s="379" customFormat="1">
      <c r="A41" s="607">
        <v>43895</v>
      </c>
      <c r="B41" s="390"/>
      <c r="C41" s="608" t="s">
        <v>355</v>
      </c>
      <c r="D41" s="390"/>
      <c r="E41" s="491">
        <v>4985.7299999999996</v>
      </c>
      <c r="F41" s="551">
        <f t="shared" si="1"/>
        <v>195318.83000000007</v>
      </c>
      <c r="G41" s="400"/>
    </row>
    <row r="42" spans="1:7" s="379" customFormat="1">
      <c r="A42" s="607">
        <v>43927</v>
      </c>
      <c r="B42" s="390"/>
      <c r="C42" s="608" t="s">
        <v>356</v>
      </c>
      <c r="D42" s="390"/>
      <c r="E42" s="491">
        <v>4985.7299999999996</v>
      </c>
      <c r="F42" s="551">
        <f t="shared" si="1"/>
        <v>200304.56000000008</v>
      </c>
      <c r="G42" s="400"/>
    </row>
    <row r="43" spans="1:7" s="379" customFormat="1">
      <c r="A43" s="607">
        <v>43956</v>
      </c>
      <c r="B43" s="390"/>
      <c r="C43" s="608" t="s">
        <v>357</v>
      </c>
      <c r="D43" s="390"/>
      <c r="E43" s="491">
        <v>4985.7299999999996</v>
      </c>
      <c r="F43" s="551">
        <f t="shared" si="1"/>
        <v>205290.2900000001</v>
      </c>
      <c r="G43" s="400"/>
    </row>
    <row r="44" spans="1:7" s="379" customFormat="1">
      <c r="A44" s="607">
        <v>43987</v>
      </c>
      <c r="B44" s="390"/>
      <c r="C44" s="608" t="s">
        <v>358</v>
      </c>
      <c r="D44" s="390"/>
      <c r="E44" s="491">
        <v>4985.7299999999996</v>
      </c>
      <c r="F44" s="551">
        <f t="shared" si="1"/>
        <v>210276.02000000011</v>
      </c>
      <c r="G44" s="400"/>
    </row>
    <row r="45" spans="1:7" s="379" customFormat="1">
      <c r="A45" s="607">
        <v>44018</v>
      </c>
      <c r="B45" s="390"/>
      <c r="C45" s="608" t="s">
        <v>456</v>
      </c>
      <c r="D45" s="390"/>
      <c r="E45" s="491">
        <v>-4985.7299999999996</v>
      </c>
      <c r="F45" s="551">
        <f t="shared" si="1"/>
        <v>205290.2900000001</v>
      </c>
      <c r="G45" s="400"/>
    </row>
    <row r="46" spans="1:7" s="379" customFormat="1">
      <c r="A46" s="607">
        <v>44018</v>
      </c>
      <c r="B46" s="390"/>
      <c r="C46" s="608" t="s">
        <v>457</v>
      </c>
      <c r="D46" s="390"/>
      <c r="E46" s="491">
        <v>-60526.98</v>
      </c>
      <c r="F46" s="551">
        <f t="shared" si="1"/>
        <v>144763.31000000008</v>
      </c>
      <c r="G46" s="400"/>
    </row>
    <row r="47" spans="1:7" s="379" customFormat="1">
      <c r="A47" s="607">
        <v>44018</v>
      </c>
      <c r="B47" s="390"/>
      <c r="C47" s="608" t="s">
        <v>458</v>
      </c>
      <c r="D47" s="390"/>
      <c r="E47" s="491">
        <v>-58574.5</v>
      </c>
      <c r="F47" s="551">
        <f t="shared" si="1"/>
        <v>86188.810000000085</v>
      </c>
      <c r="G47" s="400"/>
    </row>
    <row r="48" spans="1:7" s="379" customFormat="1">
      <c r="A48" s="607">
        <v>44048</v>
      </c>
      <c r="B48" s="390"/>
      <c r="C48" s="608" t="s">
        <v>360</v>
      </c>
      <c r="D48" s="390"/>
      <c r="E48" s="491">
        <v>4985.7299999999996</v>
      </c>
      <c r="F48" s="551">
        <f t="shared" si="1"/>
        <v>91174.540000000081</v>
      </c>
      <c r="G48" s="400"/>
    </row>
    <row r="49" spans="1:9" s="379" customFormat="1">
      <c r="A49" s="607">
        <v>44056</v>
      </c>
      <c r="B49" s="390"/>
      <c r="C49" s="608" t="s">
        <v>459</v>
      </c>
      <c r="D49" s="390"/>
      <c r="E49" s="491">
        <v>21512.16</v>
      </c>
      <c r="F49" s="551">
        <f t="shared" si="1"/>
        <v>112686.70000000008</v>
      </c>
      <c r="G49" s="400"/>
    </row>
    <row r="50" spans="1:9" s="379" customFormat="1">
      <c r="A50" s="607">
        <v>44078</v>
      </c>
      <c r="B50" s="390"/>
      <c r="C50" s="608" t="s">
        <v>361</v>
      </c>
      <c r="D50" s="390"/>
      <c r="E50" s="491">
        <v>26497.89</v>
      </c>
      <c r="F50" s="551">
        <f t="shared" si="1"/>
        <v>139184.59000000008</v>
      </c>
      <c r="G50" s="400"/>
    </row>
    <row r="51" spans="1:9" s="379" customFormat="1">
      <c r="A51" s="607">
        <v>44110</v>
      </c>
      <c r="B51" s="390"/>
      <c r="C51" s="608" t="s">
        <v>362</v>
      </c>
      <c r="D51" s="390"/>
      <c r="E51" s="491">
        <v>26497.89</v>
      </c>
      <c r="F51" s="551">
        <f t="shared" si="1"/>
        <v>165682.4800000001</v>
      </c>
      <c r="G51" s="400"/>
    </row>
    <row r="52" spans="1:9" s="379" customFormat="1">
      <c r="A52" s="607">
        <v>44141</v>
      </c>
      <c r="B52" s="390"/>
      <c r="C52" s="608" t="s">
        <v>363</v>
      </c>
      <c r="D52" s="390"/>
      <c r="E52" s="491">
        <v>26497.89</v>
      </c>
      <c r="F52" s="551">
        <f t="shared" si="1"/>
        <v>192180.37000000011</v>
      </c>
      <c r="G52" s="400"/>
    </row>
    <row r="53" spans="1:9" s="379" customFormat="1">
      <c r="A53" s="607">
        <v>44169</v>
      </c>
      <c r="B53" s="390"/>
      <c r="C53" s="608" t="s">
        <v>364</v>
      </c>
      <c r="D53" s="390"/>
      <c r="E53" s="491">
        <v>26497.89</v>
      </c>
      <c r="F53" s="551">
        <f t="shared" si="1"/>
        <v>218678.26000000013</v>
      </c>
      <c r="G53" s="400"/>
    </row>
    <row r="54" spans="1:9" s="379" customFormat="1">
      <c r="A54" s="607">
        <v>44201</v>
      </c>
      <c r="B54" s="390"/>
      <c r="C54" s="608" t="s">
        <v>365</v>
      </c>
      <c r="D54" s="390"/>
      <c r="E54" s="491">
        <v>26497.89</v>
      </c>
      <c r="F54" s="551">
        <f t="shared" si="1"/>
        <v>245176.15000000014</v>
      </c>
      <c r="G54" s="400"/>
      <c r="I54" s="392"/>
    </row>
    <row r="55" spans="1:9" s="379" customFormat="1">
      <c r="A55" s="607">
        <v>44232</v>
      </c>
      <c r="B55" s="390"/>
      <c r="C55" s="608" t="s">
        <v>366</v>
      </c>
      <c r="D55" s="390"/>
      <c r="E55" s="491">
        <v>4985.7299999999996</v>
      </c>
      <c r="F55" s="551">
        <f t="shared" si="1"/>
        <v>250161.88000000015</v>
      </c>
      <c r="G55" s="400"/>
    </row>
    <row r="56" spans="1:9" s="379" customFormat="1">
      <c r="A56" s="607">
        <v>44260</v>
      </c>
      <c r="B56" s="390"/>
      <c r="C56" s="608" t="s">
        <v>367</v>
      </c>
      <c r="D56" s="390"/>
      <c r="E56" s="491">
        <v>4985.7299999999996</v>
      </c>
      <c r="F56" s="551">
        <f t="shared" si="1"/>
        <v>255147.61000000016</v>
      </c>
      <c r="G56" s="400"/>
    </row>
    <row r="57" spans="1:9" s="379" customFormat="1">
      <c r="A57" s="607">
        <v>44291</v>
      </c>
      <c r="B57" s="390"/>
      <c r="C57" s="608" t="s">
        <v>368</v>
      </c>
      <c r="D57" s="390"/>
      <c r="E57" s="491">
        <v>4985.7299999999996</v>
      </c>
      <c r="F57" s="551">
        <f t="shared" si="1"/>
        <v>260133.34000000017</v>
      </c>
      <c r="G57" s="400"/>
    </row>
    <row r="58" spans="1:9" s="379" customFormat="1">
      <c r="A58" s="607">
        <v>44321</v>
      </c>
      <c r="B58" s="390"/>
      <c r="C58" s="608" t="s">
        <v>430</v>
      </c>
      <c r="D58" s="390"/>
      <c r="E58" s="491">
        <v>4985.7299999999996</v>
      </c>
      <c r="F58" s="551">
        <f t="shared" si="1"/>
        <v>265119.07000000018</v>
      </c>
      <c r="G58" s="400"/>
    </row>
    <row r="59" spans="1:9" s="379" customFormat="1">
      <c r="A59" s="607">
        <v>44351</v>
      </c>
      <c r="B59" s="390"/>
      <c r="C59" s="608" t="s">
        <v>431</v>
      </c>
      <c r="D59" s="390"/>
      <c r="E59" s="491">
        <v>4985.7299999999996</v>
      </c>
      <c r="F59" s="551">
        <f t="shared" si="1"/>
        <v>270104.80000000016</v>
      </c>
      <c r="G59" s="400"/>
    </row>
    <row r="60" spans="1:9" s="379" customFormat="1">
      <c r="A60" s="607">
        <v>44379</v>
      </c>
      <c r="B60" s="390"/>
      <c r="C60" s="608" t="s">
        <v>371</v>
      </c>
      <c r="D60" s="390"/>
      <c r="E60" s="491">
        <v>4985.7299999999996</v>
      </c>
      <c r="F60" s="551">
        <f t="shared" si="1"/>
        <v>275090.53000000014</v>
      </c>
      <c r="G60" s="400"/>
    </row>
    <row r="61" spans="1:9" s="379" customFormat="1">
      <c r="A61" s="607">
        <v>44413</v>
      </c>
      <c r="B61" s="390"/>
      <c r="C61" s="608" t="s">
        <v>372</v>
      </c>
      <c r="D61" s="390"/>
      <c r="E61" s="491">
        <v>4985.7299999999996</v>
      </c>
      <c r="F61" s="551">
        <f>F60+E61</f>
        <v>280076.26000000013</v>
      </c>
      <c r="G61" s="400"/>
    </row>
    <row r="62" spans="1:9" s="379" customFormat="1">
      <c r="A62" s="607">
        <v>44442</v>
      </c>
      <c r="B62" s="390"/>
      <c r="C62" s="608" t="s">
        <v>373</v>
      </c>
      <c r="D62" s="390"/>
      <c r="E62" s="491">
        <v>4985.7299999999996</v>
      </c>
      <c r="F62" s="551">
        <f>F61+E62</f>
        <v>285061.99000000011</v>
      </c>
      <c r="G62" s="400"/>
    </row>
    <row r="63" spans="1:9" s="379" customFormat="1">
      <c r="A63" s="607">
        <v>45541</v>
      </c>
      <c r="B63" s="390"/>
      <c r="C63" s="390" t="s">
        <v>415</v>
      </c>
      <c r="D63" s="390"/>
      <c r="E63" s="395">
        <v>-285061.99</v>
      </c>
      <c r="F63" s="551">
        <f>F62+E63</f>
        <v>0</v>
      </c>
      <c r="H63" s="392"/>
      <c r="I63" s="392"/>
    </row>
    <row r="64" spans="1:9" s="379" customFormat="1">
      <c r="A64" s="394"/>
      <c r="B64" s="390"/>
      <c r="C64" s="390"/>
      <c r="D64" s="390"/>
      <c r="E64" s="395"/>
      <c r="F64" s="752"/>
      <c r="H64" s="392"/>
      <c r="I64" s="392"/>
    </row>
    <row r="65" spans="1:8" s="400" customFormat="1" ht="13.5" thickBot="1">
      <c r="A65" s="396"/>
      <c r="B65" s="397"/>
      <c r="C65" s="397" t="s">
        <v>306</v>
      </c>
      <c r="D65" s="397"/>
      <c r="E65" s="398"/>
      <c r="F65" s="552">
        <f>F63</f>
        <v>0</v>
      </c>
      <c r="H65" s="491"/>
    </row>
    <row r="66" spans="1:8" s="379" customFormat="1">
      <c r="A66" s="390"/>
      <c r="B66" s="390"/>
      <c r="C66" s="390"/>
      <c r="D66" s="390"/>
      <c r="E66" s="395"/>
      <c r="F66" s="390"/>
    </row>
    <row r="67" spans="1:8" s="379" customFormat="1">
      <c r="B67" s="401"/>
      <c r="C67" s="391"/>
    </row>
    <row r="68" spans="1:8" s="379" customFormat="1">
      <c r="C68" s="391"/>
    </row>
    <row r="69" spans="1:8" s="379" customFormat="1"/>
    <row r="70" spans="1:8">
      <c r="B70" s="403"/>
      <c r="C70" s="379"/>
    </row>
    <row r="71" spans="1:8">
      <c r="C71" s="379"/>
    </row>
    <row r="72" spans="1:8">
      <c r="C72" s="379"/>
    </row>
    <row r="73" spans="1:8">
      <c r="C73" s="379"/>
    </row>
    <row r="74" spans="1:8">
      <c r="C74" s="379"/>
    </row>
    <row r="75" spans="1:8">
      <c r="C75" s="379"/>
    </row>
    <row r="76" spans="1:8">
      <c r="C76" s="379"/>
    </row>
    <row r="77" spans="1:8">
      <c r="C77" s="379"/>
    </row>
    <row r="78" spans="1:8">
      <c r="C78" s="379"/>
    </row>
    <row r="79" spans="1:8">
      <c r="C79" s="379"/>
    </row>
  </sheetData>
  <mergeCells count="3">
    <mergeCell ref="A1:F1"/>
    <mergeCell ref="A2:F2"/>
    <mergeCell ref="A3:F3"/>
  </mergeCells>
  <printOptions horizontalCentered="1"/>
  <pageMargins left="0.75" right="0.75" top="1" bottom="1" header="0.5" footer="0.5"/>
  <pageSetup scale="82" orientation="portrait"/>
  <headerFooter alignWithMargins="0">
    <oddFooter>&amp;R&amp;F
&amp;D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3">
    <pageSetUpPr autoPageBreaks="0" fitToPage="1"/>
  </sheetPr>
  <dimension ref="A1:K54"/>
  <sheetViews>
    <sheetView topLeftCell="A17" workbookViewId="0">
      <selection activeCell="F41" sqref="F41"/>
    </sheetView>
  </sheetViews>
  <sheetFormatPr defaultColWidth="9.42578125" defaultRowHeight="12.75"/>
  <cols>
    <col min="1" max="1" width="12.5703125" style="402" customWidth="1"/>
    <col min="2" max="2" width="2.5703125" style="402" customWidth="1"/>
    <col min="3" max="3" width="41" style="402" customWidth="1"/>
    <col min="4" max="4" width="2.5703125" style="402" customWidth="1"/>
    <col min="5" max="5" width="16.5703125" style="402" customWidth="1"/>
    <col min="6" max="6" width="25.42578125" style="402" customWidth="1"/>
    <col min="7" max="7" width="9.42578125" style="402"/>
    <col min="8" max="8" width="20.5703125" style="402" customWidth="1"/>
    <col min="9" max="9" width="12.42578125" style="402" customWidth="1"/>
    <col min="10" max="16384" width="9.42578125" style="402"/>
  </cols>
  <sheetData>
    <row r="1" spans="1:11" s="379" customFormat="1" ht="18">
      <c r="A1" s="1179" t="str">
        <f>'Review Comments'!B9</f>
        <v>COCONUT GROVE RETAIL XIII, LLC</v>
      </c>
      <c r="B1" s="1180"/>
      <c r="C1" s="1180"/>
      <c r="D1" s="1180"/>
      <c r="E1" s="1180"/>
      <c r="F1" s="1181"/>
    </row>
    <row r="2" spans="1:11" s="379" customFormat="1" ht="18">
      <c r="A2" s="1182" t="s">
        <v>460</v>
      </c>
      <c r="B2" s="1183"/>
      <c r="C2" s="1183"/>
      <c r="D2" s="1183"/>
      <c r="E2" s="1183"/>
      <c r="F2" s="1184"/>
    </row>
    <row r="3" spans="1:11" s="379" customFormat="1" ht="18.75" thickBot="1">
      <c r="A3" s="1185" t="str">
        <f>'Review Comments'!B11</f>
        <v>FOR THE MONTH 07/31/2026</v>
      </c>
      <c r="B3" s="1186"/>
      <c r="C3" s="1186"/>
      <c r="D3" s="1186"/>
      <c r="E3" s="1186"/>
      <c r="F3" s="1187"/>
    </row>
    <row r="4" spans="1:11" s="379" customFormat="1"/>
    <row r="5" spans="1:11" s="379" customFormat="1"/>
    <row r="6" spans="1:11" s="379" customFormat="1"/>
    <row r="7" spans="1:11" s="379" customFormat="1" ht="13.5" thickBot="1"/>
    <row r="8" spans="1:11" s="379" customFormat="1">
      <c r="A8" s="380"/>
      <c r="B8" s="381"/>
      <c r="C8" s="381"/>
      <c r="D8" s="381"/>
      <c r="E8" s="381"/>
      <c r="F8" s="382"/>
    </row>
    <row r="9" spans="1:11" s="379" customFormat="1" ht="26.25" thickBot="1">
      <c r="A9" s="383" t="s">
        <v>303</v>
      </c>
      <c r="B9" s="384"/>
      <c r="C9" s="384" t="s">
        <v>10</v>
      </c>
      <c r="D9" s="384"/>
      <c r="E9" s="384" t="s">
        <v>11</v>
      </c>
      <c r="F9" s="385" t="s">
        <v>105</v>
      </c>
      <c r="G9" s="386"/>
      <c r="H9" s="386"/>
      <c r="I9" s="386"/>
      <c r="J9" s="386"/>
      <c r="K9" s="386"/>
    </row>
    <row r="10" spans="1:11" s="379" customFormat="1">
      <c r="A10" s="387"/>
      <c r="F10" s="388"/>
    </row>
    <row r="11" spans="1:11" s="379" customFormat="1">
      <c r="A11" s="475">
        <v>42978</v>
      </c>
      <c r="B11" s="421"/>
      <c r="C11" s="550" t="s">
        <v>461</v>
      </c>
      <c r="D11" s="390"/>
      <c r="E11" s="395">
        <v>85920</v>
      </c>
      <c r="F11" s="583">
        <f>+E11</f>
        <v>85920</v>
      </c>
    </row>
    <row r="12" spans="1:11" s="379" customFormat="1" ht="25.5">
      <c r="A12" s="611">
        <v>43038</v>
      </c>
      <c r="B12" s="612"/>
      <c r="C12" s="613" t="s">
        <v>305</v>
      </c>
      <c r="D12" s="612"/>
      <c r="E12" s="614">
        <v>797.71</v>
      </c>
      <c r="F12" s="615">
        <f t="shared" ref="F12:F36" si="0">F11+E12</f>
        <v>86717.71</v>
      </c>
      <c r="G12" s="400"/>
      <c r="H12" s="616" t="s">
        <v>462</v>
      </c>
      <c r="I12" s="617">
        <f>F40+'10450'!F178+'10470'!F65</f>
        <v>1.2369127944111824E-10</v>
      </c>
    </row>
    <row r="13" spans="1:11" s="379" customFormat="1">
      <c r="A13" s="611">
        <v>43068</v>
      </c>
      <c r="B13" s="390"/>
      <c r="C13" s="613" t="s">
        <v>323</v>
      </c>
      <c r="D13" s="390"/>
      <c r="E13" s="614">
        <v>797.71</v>
      </c>
      <c r="F13" s="615">
        <f t="shared" si="0"/>
        <v>87515.420000000013</v>
      </c>
    </row>
    <row r="14" spans="1:11" s="379" customFormat="1">
      <c r="A14" s="611">
        <v>43098</v>
      </c>
      <c r="B14" s="390"/>
      <c r="C14" s="613" t="s">
        <v>324</v>
      </c>
      <c r="D14" s="390"/>
      <c r="E14" s="614">
        <v>797.71</v>
      </c>
      <c r="F14" s="615">
        <f t="shared" si="0"/>
        <v>88313.130000000019</v>
      </c>
      <c r="I14" s="722"/>
    </row>
    <row r="15" spans="1:11" s="379" customFormat="1">
      <c r="A15" s="611">
        <v>43117</v>
      </c>
      <c r="B15" s="390"/>
      <c r="C15" s="613" t="s">
        <v>325</v>
      </c>
      <c r="D15" s="390"/>
      <c r="E15" s="614">
        <v>797.71</v>
      </c>
      <c r="F15" s="615">
        <f t="shared" si="0"/>
        <v>89110.840000000026</v>
      </c>
      <c r="I15" s="392"/>
    </row>
    <row r="16" spans="1:11" s="379" customFormat="1">
      <c r="A16" s="611">
        <v>43159</v>
      </c>
      <c r="B16" s="390"/>
      <c r="C16" s="613" t="s">
        <v>326</v>
      </c>
      <c r="D16" s="390"/>
      <c r="E16" s="614">
        <v>797.71</v>
      </c>
      <c r="F16" s="615">
        <f t="shared" si="0"/>
        <v>89908.550000000032</v>
      </c>
      <c r="I16" s="392"/>
    </row>
    <row r="17" spans="1:9" s="379" customFormat="1">
      <c r="A17" s="611">
        <v>43190</v>
      </c>
      <c r="B17" s="390"/>
      <c r="C17" s="613" t="s">
        <v>330</v>
      </c>
      <c r="D17" s="390"/>
      <c r="E17" s="614">
        <v>797.71</v>
      </c>
      <c r="F17" s="615">
        <f t="shared" si="0"/>
        <v>90706.260000000038</v>
      </c>
      <c r="I17" s="392"/>
    </row>
    <row r="18" spans="1:9" s="379" customFormat="1">
      <c r="A18" s="611">
        <v>43220</v>
      </c>
      <c r="B18" s="390"/>
      <c r="C18" s="613" t="s">
        <v>331</v>
      </c>
      <c r="D18" s="390"/>
      <c r="E18" s="614">
        <v>797.71</v>
      </c>
      <c r="F18" s="615">
        <f t="shared" si="0"/>
        <v>91503.970000000045</v>
      </c>
      <c r="I18" s="392"/>
    </row>
    <row r="19" spans="1:9" s="379" customFormat="1">
      <c r="A19" s="611">
        <v>43251</v>
      </c>
      <c r="B19" s="390"/>
      <c r="C19" s="613" t="s">
        <v>332</v>
      </c>
      <c r="D19" s="390"/>
      <c r="E19" s="614">
        <v>797.71</v>
      </c>
      <c r="F19" s="615">
        <f t="shared" si="0"/>
        <v>92301.680000000051</v>
      </c>
    </row>
    <row r="20" spans="1:9" s="379" customFormat="1">
      <c r="A20" s="611">
        <v>43281</v>
      </c>
      <c r="B20" s="390"/>
      <c r="C20" s="613" t="s">
        <v>333</v>
      </c>
      <c r="D20" s="390"/>
      <c r="E20" s="614">
        <v>797.71</v>
      </c>
      <c r="F20" s="615">
        <f t="shared" si="0"/>
        <v>93099.390000000058</v>
      </c>
    </row>
    <row r="21" spans="1:9" s="379" customFormat="1">
      <c r="A21" s="611">
        <v>43312</v>
      </c>
      <c r="B21" s="390"/>
      <c r="C21" s="613" t="s">
        <v>334</v>
      </c>
      <c r="D21" s="390"/>
      <c r="E21" s="614">
        <v>797.71</v>
      </c>
      <c r="F21" s="615">
        <f t="shared" si="0"/>
        <v>93897.100000000064</v>
      </c>
    </row>
    <row r="22" spans="1:9" s="379" customFormat="1">
      <c r="A22" s="611">
        <v>43343</v>
      </c>
      <c r="B22" s="390"/>
      <c r="C22" s="613" t="s">
        <v>335</v>
      </c>
      <c r="D22" s="390"/>
      <c r="E22" s="614">
        <v>797.71</v>
      </c>
      <c r="F22" s="615">
        <f t="shared" si="0"/>
        <v>94694.81000000007</v>
      </c>
    </row>
    <row r="23" spans="1:9" s="379" customFormat="1">
      <c r="A23" s="611">
        <v>43373</v>
      </c>
      <c r="B23" s="390"/>
      <c r="C23" s="613" t="s">
        <v>336</v>
      </c>
      <c r="D23" s="390"/>
      <c r="E23" s="614">
        <v>797.71</v>
      </c>
      <c r="F23" s="615">
        <f t="shared" si="0"/>
        <v>95492.520000000077</v>
      </c>
    </row>
    <row r="24" spans="1:9" s="379" customFormat="1">
      <c r="A24" s="611">
        <v>43404</v>
      </c>
      <c r="B24" s="390"/>
      <c r="C24" s="613" t="s">
        <v>337</v>
      </c>
      <c r="D24" s="390"/>
      <c r="E24" s="614">
        <v>797.71</v>
      </c>
      <c r="F24" s="615">
        <f t="shared" si="0"/>
        <v>96290.230000000083</v>
      </c>
    </row>
    <row r="25" spans="1:9" s="379" customFormat="1">
      <c r="A25" s="611">
        <v>43434</v>
      </c>
      <c r="B25" s="390"/>
      <c r="C25" s="613" t="s">
        <v>338</v>
      </c>
      <c r="D25" s="390"/>
      <c r="E25" s="614">
        <v>797.71</v>
      </c>
      <c r="F25" s="615">
        <f t="shared" si="0"/>
        <v>97087.94000000009</v>
      </c>
    </row>
    <row r="26" spans="1:9" s="379" customFormat="1">
      <c r="A26" s="611">
        <v>43465</v>
      </c>
      <c r="B26" s="390"/>
      <c r="C26" s="613" t="s">
        <v>339</v>
      </c>
      <c r="D26" s="390"/>
      <c r="E26" s="614">
        <v>797.71</v>
      </c>
      <c r="F26" s="615">
        <f t="shared" si="0"/>
        <v>97885.650000000096</v>
      </c>
    </row>
    <row r="27" spans="1:9" s="379" customFormat="1">
      <c r="A27" s="611">
        <v>43496</v>
      </c>
      <c r="B27" s="390"/>
      <c r="C27" s="613" t="s">
        <v>340</v>
      </c>
      <c r="D27" s="390"/>
      <c r="E27" s="614">
        <v>797.71</v>
      </c>
      <c r="F27" s="615">
        <f t="shared" si="0"/>
        <v>98683.360000000102</v>
      </c>
    </row>
    <row r="28" spans="1:9" s="379" customFormat="1">
      <c r="A28" s="611">
        <v>43524</v>
      </c>
      <c r="B28" s="390"/>
      <c r="C28" s="613" t="s">
        <v>341</v>
      </c>
      <c r="D28" s="390"/>
      <c r="E28" s="614">
        <v>797.71</v>
      </c>
      <c r="F28" s="615">
        <f t="shared" si="0"/>
        <v>99481.070000000109</v>
      </c>
    </row>
    <row r="29" spans="1:9" s="379" customFormat="1">
      <c r="A29" s="611">
        <v>43555</v>
      </c>
      <c r="B29" s="390"/>
      <c r="C29" s="613" t="s">
        <v>342</v>
      </c>
      <c r="D29" s="390"/>
      <c r="E29" s="614">
        <v>797.71</v>
      </c>
      <c r="F29" s="615">
        <f t="shared" si="0"/>
        <v>100278.78000000012</v>
      </c>
    </row>
    <row r="30" spans="1:9" s="379" customFormat="1">
      <c r="A30" s="611">
        <v>43585</v>
      </c>
      <c r="B30" s="390"/>
      <c r="C30" s="613" t="s">
        <v>343</v>
      </c>
      <c r="D30" s="390"/>
      <c r="E30" s="614">
        <v>797.71</v>
      </c>
      <c r="F30" s="615">
        <f t="shared" si="0"/>
        <v>101076.49000000012</v>
      </c>
    </row>
    <row r="31" spans="1:9" s="379" customFormat="1">
      <c r="A31" s="611">
        <v>43591</v>
      </c>
      <c r="B31" s="390"/>
      <c r="C31" s="613" t="s">
        <v>344</v>
      </c>
      <c r="D31" s="390"/>
      <c r="E31" s="614">
        <v>797.71</v>
      </c>
      <c r="F31" s="615">
        <f t="shared" si="0"/>
        <v>101874.20000000013</v>
      </c>
    </row>
    <row r="32" spans="1:9" s="379" customFormat="1">
      <c r="A32" s="611">
        <v>43595</v>
      </c>
      <c r="B32" s="390"/>
      <c r="C32" s="613" t="s">
        <v>463</v>
      </c>
      <c r="D32" s="390"/>
      <c r="E32" s="614">
        <v>-58423.89</v>
      </c>
      <c r="F32" s="615">
        <f t="shared" si="0"/>
        <v>43450.310000000129</v>
      </c>
    </row>
    <row r="33" spans="1:6" s="379" customFormat="1">
      <c r="A33" s="611">
        <v>43621</v>
      </c>
      <c r="B33" s="390"/>
      <c r="C33" s="613" t="s">
        <v>345</v>
      </c>
      <c r="D33" s="390"/>
      <c r="E33" s="614">
        <v>797.71</v>
      </c>
      <c r="F33" s="615">
        <f t="shared" si="0"/>
        <v>44248.020000000128</v>
      </c>
    </row>
    <row r="34" spans="1:6" s="379" customFormat="1">
      <c r="A34" s="611">
        <v>43651</v>
      </c>
      <c r="B34" s="390"/>
      <c r="C34" s="613" t="s">
        <v>346</v>
      </c>
      <c r="D34" s="390"/>
      <c r="E34" s="614">
        <v>797.71</v>
      </c>
      <c r="F34" s="615">
        <f t="shared" si="0"/>
        <v>45045.730000000127</v>
      </c>
    </row>
    <row r="35" spans="1:6" s="379" customFormat="1">
      <c r="A35" s="611">
        <v>43682</v>
      </c>
      <c r="B35" s="390"/>
      <c r="C35" s="613" t="s">
        <v>347</v>
      </c>
      <c r="D35" s="390"/>
      <c r="E35" s="614">
        <v>797.71</v>
      </c>
      <c r="F35" s="615">
        <f t="shared" si="0"/>
        <v>45843.440000000126</v>
      </c>
    </row>
    <row r="36" spans="1:6" s="379" customFormat="1">
      <c r="A36" s="611">
        <v>43713</v>
      </c>
      <c r="B36" s="390"/>
      <c r="C36" s="613" t="s">
        <v>348</v>
      </c>
      <c r="D36" s="390"/>
      <c r="E36" s="614">
        <v>797.71</v>
      </c>
      <c r="F36" s="615">
        <f t="shared" si="0"/>
        <v>46641.150000000125</v>
      </c>
    </row>
    <row r="37" spans="1:6" s="379" customFormat="1">
      <c r="A37" s="611">
        <v>43742</v>
      </c>
      <c r="B37" s="390"/>
      <c r="C37" s="613" t="s">
        <v>464</v>
      </c>
      <c r="D37" s="390"/>
      <c r="E37" s="614">
        <v>-27496.11</v>
      </c>
      <c r="F37" s="615">
        <f>F36+E37</f>
        <v>19145.040000000125</v>
      </c>
    </row>
    <row r="38" spans="1:6" s="379" customFormat="1">
      <c r="A38" s="611">
        <v>45541</v>
      </c>
      <c r="B38" s="390"/>
      <c r="C38" s="390" t="s">
        <v>415</v>
      </c>
      <c r="D38" s="390"/>
      <c r="E38" s="395">
        <v>-19145.04</v>
      </c>
      <c r="F38" s="615">
        <f>F37+E38</f>
        <v>1.2369127944111824E-10</v>
      </c>
    </row>
    <row r="39" spans="1:6" s="379" customFormat="1">
      <c r="A39" s="394"/>
      <c r="B39" s="390"/>
      <c r="C39" s="390"/>
      <c r="D39" s="390"/>
      <c r="E39" s="395"/>
      <c r="F39" s="393"/>
    </row>
    <row r="40" spans="1:6" s="400" customFormat="1" ht="13.5" thickBot="1">
      <c r="A40" s="396"/>
      <c r="B40" s="397"/>
      <c r="C40" s="397" t="s">
        <v>306</v>
      </c>
      <c r="D40" s="397"/>
      <c r="E40" s="398"/>
      <c r="F40" s="610">
        <f>F38</f>
        <v>1.2369127944111824E-10</v>
      </c>
    </row>
    <row r="41" spans="1:6" s="379" customFormat="1">
      <c r="A41" s="390"/>
      <c r="B41" s="390"/>
      <c r="C41" s="390"/>
      <c r="D41" s="390"/>
      <c r="E41" s="395"/>
      <c r="F41" s="390"/>
    </row>
    <row r="42" spans="1:6" s="379" customFormat="1">
      <c r="B42" s="401"/>
      <c r="C42" s="391"/>
    </row>
    <row r="43" spans="1:6" s="379" customFormat="1">
      <c r="C43" s="391"/>
      <c r="F43" s="392"/>
    </row>
    <row r="44" spans="1:6" s="379" customFormat="1"/>
    <row r="45" spans="1:6">
      <c r="B45" s="403"/>
      <c r="C45" s="379"/>
    </row>
    <row r="46" spans="1:6">
      <c r="C46" s="379"/>
    </row>
    <row r="47" spans="1:6">
      <c r="C47" s="379"/>
    </row>
    <row r="48" spans="1:6">
      <c r="C48" s="379"/>
    </row>
    <row r="49" spans="3:3">
      <c r="C49" s="379"/>
    </row>
    <row r="50" spans="3:3">
      <c r="C50" s="379"/>
    </row>
    <row r="51" spans="3:3">
      <c r="C51" s="379"/>
    </row>
    <row r="52" spans="3:3">
      <c r="C52" s="379"/>
    </row>
    <row r="53" spans="3:3">
      <c r="C53" s="379"/>
    </row>
    <row r="54" spans="3:3">
      <c r="C54" s="379"/>
    </row>
  </sheetData>
  <mergeCells count="3">
    <mergeCell ref="A1:F1"/>
    <mergeCell ref="A2:F2"/>
    <mergeCell ref="A3:F3"/>
  </mergeCells>
  <printOptions horizontalCentered="1"/>
  <pageMargins left="0.75" right="0.75" top="1" bottom="1" header="0.5" footer="0.5"/>
  <pageSetup scale="68" orientation="portrait"/>
  <headerFooter alignWithMargins="0">
    <oddFooter>&amp;R&amp;F
&amp;D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EE933-AEA0-4DF8-9591-F834AB1004FD}">
  <sheetPr codeName="Sheet71"/>
  <dimension ref="A2:F45"/>
  <sheetViews>
    <sheetView zoomScale="85" zoomScaleNormal="85" workbookViewId="0"/>
  </sheetViews>
  <sheetFormatPr defaultRowHeight="12.75"/>
  <cols>
    <col min="1" max="1" width="15.85546875" customWidth="1"/>
    <col min="2" max="2" width="35.5703125" bestFit="1" customWidth="1"/>
    <col min="3" max="4" width="15.5703125" style="377" customWidth="1"/>
    <col min="5" max="5" width="15.42578125" style="377" bestFit="1" customWidth="1"/>
    <col min="6" max="6" width="38.42578125" customWidth="1"/>
    <col min="257" max="257" width="12.5703125" bestFit="1" customWidth="1"/>
    <col min="258" max="258" width="35.5703125" bestFit="1" customWidth="1"/>
    <col min="259" max="260" width="15.5703125" customWidth="1"/>
    <col min="261" max="261" width="14.5703125" bestFit="1" customWidth="1"/>
    <col min="262" max="262" width="38.42578125" customWidth="1"/>
    <col min="513" max="513" width="12.5703125" bestFit="1" customWidth="1"/>
    <col min="514" max="514" width="35.5703125" bestFit="1" customWidth="1"/>
    <col min="515" max="516" width="15.5703125" customWidth="1"/>
    <col min="517" max="517" width="14.5703125" bestFit="1" customWidth="1"/>
    <col min="518" max="518" width="38.42578125" customWidth="1"/>
    <col min="769" max="769" width="12.5703125" bestFit="1" customWidth="1"/>
    <col min="770" max="770" width="35.5703125" bestFit="1" customWidth="1"/>
    <col min="771" max="772" width="15.5703125" customWidth="1"/>
    <col min="773" max="773" width="14.5703125" bestFit="1" customWidth="1"/>
    <col min="774" max="774" width="38.42578125" customWidth="1"/>
    <col min="1025" max="1025" width="12.5703125" bestFit="1" customWidth="1"/>
    <col min="1026" max="1026" width="35.5703125" bestFit="1" customWidth="1"/>
    <col min="1027" max="1028" width="15.5703125" customWidth="1"/>
    <col min="1029" max="1029" width="14.5703125" bestFit="1" customWidth="1"/>
    <col min="1030" max="1030" width="38.42578125" customWidth="1"/>
    <col min="1281" max="1281" width="12.5703125" bestFit="1" customWidth="1"/>
    <col min="1282" max="1282" width="35.5703125" bestFit="1" customWidth="1"/>
    <col min="1283" max="1284" width="15.5703125" customWidth="1"/>
    <col min="1285" max="1285" width="14.5703125" bestFit="1" customWidth="1"/>
    <col min="1286" max="1286" width="38.42578125" customWidth="1"/>
    <col min="1537" max="1537" width="12.5703125" bestFit="1" customWidth="1"/>
    <col min="1538" max="1538" width="35.5703125" bestFit="1" customWidth="1"/>
    <col min="1539" max="1540" width="15.5703125" customWidth="1"/>
    <col min="1541" max="1541" width="14.5703125" bestFit="1" customWidth="1"/>
    <col min="1542" max="1542" width="38.42578125" customWidth="1"/>
    <col min="1793" max="1793" width="12.5703125" bestFit="1" customWidth="1"/>
    <col min="1794" max="1794" width="35.5703125" bestFit="1" customWidth="1"/>
    <col min="1795" max="1796" width="15.5703125" customWidth="1"/>
    <col min="1797" max="1797" width="14.5703125" bestFit="1" customWidth="1"/>
    <col min="1798" max="1798" width="38.42578125" customWidth="1"/>
    <col min="2049" max="2049" width="12.5703125" bestFit="1" customWidth="1"/>
    <col min="2050" max="2050" width="35.5703125" bestFit="1" customWidth="1"/>
    <col min="2051" max="2052" width="15.5703125" customWidth="1"/>
    <col min="2053" max="2053" width="14.5703125" bestFit="1" customWidth="1"/>
    <col min="2054" max="2054" width="38.42578125" customWidth="1"/>
    <col min="2305" max="2305" width="12.5703125" bestFit="1" customWidth="1"/>
    <col min="2306" max="2306" width="35.5703125" bestFit="1" customWidth="1"/>
    <col min="2307" max="2308" width="15.5703125" customWidth="1"/>
    <col min="2309" max="2309" width="14.5703125" bestFit="1" customWidth="1"/>
    <col min="2310" max="2310" width="38.42578125" customWidth="1"/>
    <col min="2561" max="2561" width="12.5703125" bestFit="1" customWidth="1"/>
    <col min="2562" max="2562" width="35.5703125" bestFit="1" customWidth="1"/>
    <col min="2563" max="2564" width="15.5703125" customWidth="1"/>
    <col min="2565" max="2565" width="14.5703125" bestFit="1" customWidth="1"/>
    <col min="2566" max="2566" width="38.42578125" customWidth="1"/>
    <col min="2817" max="2817" width="12.5703125" bestFit="1" customWidth="1"/>
    <col min="2818" max="2818" width="35.5703125" bestFit="1" customWidth="1"/>
    <col min="2819" max="2820" width="15.5703125" customWidth="1"/>
    <col min="2821" max="2821" width="14.5703125" bestFit="1" customWidth="1"/>
    <col min="2822" max="2822" width="38.42578125" customWidth="1"/>
    <col min="3073" max="3073" width="12.5703125" bestFit="1" customWidth="1"/>
    <col min="3074" max="3074" width="35.5703125" bestFit="1" customWidth="1"/>
    <col min="3075" max="3076" width="15.5703125" customWidth="1"/>
    <col min="3077" max="3077" width="14.5703125" bestFit="1" customWidth="1"/>
    <col min="3078" max="3078" width="38.42578125" customWidth="1"/>
    <col min="3329" max="3329" width="12.5703125" bestFit="1" customWidth="1"/>
    <col min="3330" max="3330" width="35.5703125" bestFit="1" customWidth="1"/>
    <col min="3331" max="3332" width="15.5703125" customWidth="1"/>
    <col min="3333" max="3333" width="14.5703125" bestFit="1" customWidth="1"/>
    <col min="3334" max="3334" width="38.42578125" customWidth="1"/>
    <col min="3585" max="3585" width="12.5703125" bestFit="1" customWidth="1"/>
    <col min="3586" max="3586" width="35.5703125" bestFit="1" customWidth="1"/>
    <col min="3587" max="3588" width="15.5703125" customWidth="1"/>
    <col min="3589" max="3589" width="14.5703125" bestFit="1" customWidth="1"/>
    <col min="3590" max="3590" width="38.42578125" customWidth="1"/>
    <col min="3841" max="3841" width="12.5703125" bestFit="1" customWidth="1"/>
    <col min="3842" max="3842" width="35.5703125" bestFit="1" customWidth="1"/>
    <col min="3843" max="3844" width="15.5703125" customWidth="1"/>
    <col min="3845" max="3845" width="14.5703125" bestFit="1" customWidth="1"/>
    <col min="3846" max="3846" width="38.42578125" customWidth="1"/>
    <col min="4097" max="4097" width="12.5703125" bestFit="1" customWidth="1"/>
    <col min="4098" max="4098" width="35.5703125" bestFit="1" customWidth="1"/>
    <col min="4099" max="4100" width="15.5703125" customWidth="1"/>
    <col min="4101" max="4101" width="14.5703125" bestFit="1" customWidth="1"/>
    <col min="4102" max="4102" width="38.42578125" customWidth="1"/>
    <col min="4353" max="4353" width="12.5703125" bestFit="1" customWidth="1"/>
    <col min="4354" max="4354" width="35.5703125" bestFit="1" customWidth="1"/>
    <col min="4355" max="4356" width="15.5703125" customWidth="1"/>
    <col min="4357" max="4357" width="14.5703125" bestFit="1" customWidth="1"/>
    <col min="4358" max="4358" width="38.42578125" customWidth="1"/>
    <col min="4609" max="4609" width="12.5703125" bestFit="1" customWidth="1"/>
    <col min="4610" max="4610" width="35.5703125" bestFit="1" customWidth="1"/>
    <col min="4611" max="4612" width="15.5703125" customWidth="1"/>
    <col min="4613" max="4613" width="14.5703125" bestFit="1" customWidth="1"/>
    <col min="4614" max="4614" width="38.42578125" customWidth="1"/>
    <col min="4865" max="4865" width="12.5703125" bestFit="1" customWidth="1"/>
    <col min="4866" max="4866" width="35.5703125" bestFit="1" customWidth="1"/>
    <col min="4867" max="4868" width="15.5703125" customWidth="1"/>
    <col min="4869" max="4869" width="14.5703125" bestFit="1" customWidth="1"/>
    <col min="4870" max="4870" width="38.42578125" customWidth="1"/>
    <col min="5121" max="5121" width="12.5703125" bestFit="1" customWidth="1"/>
    <col min="5122" max="5122" width="35.5703125" bestFit="1" customWidth="1"/>
    <col min="5123" max="5124" width="15.5703125" customWidth="1"/>
    <col min="5125" max="5125" width="14.5703125" bestFit="1" customWidth="1"/>
    <col min="5126" max="5126" width="38.42578125" customWidth="1"/>
    <col min="5377" max="5377" width="12.5703125" bestFit="1" customWidth="1"/>
    <col min="5378" max="5378" width="35.5703125" bestFit="1" customWidth="1"/>
    <col min="5379" max="5380" width="15.5703125" customWidth="1"/>
    <col min="5381" max="5381" width="14.5703125" bestFit="1" customWidth="1"/>
    <col min="5382" max="5382" width="38.42578125" customWidth="1"/>
    <col min="5633" max="5633" width="12.5703125" bestFit="1" customWidth="1"/>
    <col min="5634" max="5634" width="35.5703125" bestFit="1" customWidth="1"/>
    <col min="5635" max="5636" width="15.5703125" customWidth="1"/>
    <col min="5637" max="5637" width="14.5703125" bestFit="1" customWidth="1"/>
    <col min="5638" max="5638" width="38.42578125" customWidth="1"/>
    <col min="5889" max="5889" width="12.5703125" bestFit="1" customWidth="1"/>
    <col min="5890" max="5890" width="35.5703125" bestFit="1" customWidth="1"/>
    <col min="5891" max="5892" width="15.5703125" customWidth="1"/>
    <col min="5893" max="5893" width="14.5703125" bestFit="1" customWidth="1"/>
    <col min="5894" max="5894" width="38.42578125" customWidth="1"/>
    <col min="6145" max="6145" width="12.5703125" bestFit="1" customWidth="1"/>
    <col min="6146" max="6146" width="35.5703125" bestFit="1" customWidth="1"/>
    <col min="6147" max="6148" width="15.5703125" customWidth="1"/>
    <col min="6149" max="6149" width="14.5703125" bestFit="1" customWidth="1"/>
    <col min="6150" max="6150" width="38.42578125" customWidth="1"/>
    <col min="6401" max="6401" width="12.5703125" bestFit="1" customWidth="1"/>
    <col min="6402" max="6402" width="35.5703125" bestFit="1" customWidth="1"/>
    <col min="6403" max="6404" width="15.5703125" customWidth="1"/>
    <col min="6405" max="6405" width="14.5703125" bestFit="1" customWidth="1"/>
    <col min="6406" max="6406" width="38.42578125" customWidth="1"/>
    <col min="6657" max="6657" width="12.5703125" bestFit="1" customWidth="1"/>
    <col min="6658" max="6658" width="35.5703125" bestFit="1" customWidth="1"/>
    <col min="6659" max="6660" width="15.5703125" customWidth="1"/>
    <col min="6661" max="6661" width="14.5703125" bestFit="1" customWidth="1"/>
    <col min="6662" max="6662" width="38.42578125" customWidth="1"/>
    <col min="6913" max="6913" width="12.5703125" bestFit="1" customWidth="1"/>
    <col min="6914" max="6914" width="35.5703125" bestFit="1" customWidth="1"/>
    <col min="6915" max="6916" width="15.5703125" customWidth="1"/>
    <col min="6917" max="6917" width="14.5703125" bestFit="1" customWidth="1"/>
    <col min="6918" max="6918" width="38.42578125" customWidth="1"/>
    <col min="7169" max="7169" width="12.5703125" bestFit="1" customWidth="1"/>
    <col min="7170" max="7170" width="35.5703125" bestFit="1" customWidth="1"/>
    <col min="7171" max="7172" width="15.5703125" customWidth="1"/>
    <col min="7173" max="7173" width="14.5703125" bestFit="1" customWidth="1"/>
    <col min="7174" max="7174" width="38.42578125" customWidth="1"/>
    <col min="7425" max="7425" width="12.5703125" bestFit="1" customWidth="1"/>
    <col min="7426" max="7426" width="35.5703125" bestFit="1" customWidth="1"/>
    <col min="7427" max="7428" width="15.5703125" customWidth="1"/>
    <col min="7429" max="7429" width="14.5703125" bestFit="1" customWidth="1"/>
    <col min="7430" max="7430" width="38.42578125" customWidth="1"/>
    <col min="7681" max="7681" width="12.5703125" bestFit="1" customWidth="1"/>
    <col min="7682" max="7682" width="35.5703125" bestFit="1" customWidth="1"/>
    <col min="7683" max="7684" width="15.5703125" customWidth="1"/>
    <col min="7685" max="7685" width="14.5703125" bestFit="1" customWidth="1"/>
    <col min="7686" max="7686" width="38.42578125" customWidth="1"/>
    <col min="7937" max="7937" width="12.5703125" bestFit="1" customWidth="1"/>
    <col min="7938" max="7938" width="35.5703125" bestFit="1" customWidth="1"/>
    <col min="7939" max="7940" width="15.5703125" customWidth="1"/>
    <col min="7941" max="7941" width="14.5703125" bestFit="1" customWidth="1"/>
    <col min="7942" max="7942" width="38.42578125" customWidth="1"/>
    <col min="8193" max="8193" width="12.5703125" bestFit="1" customWidth="1"/>
    <col min="8194" max="8194" width="35.5703125" bestFit="1" customWidth="1"/>
    <col min="8195" max="8196" width="15.5703125" customWidth="1"/>
    <col min="8197" max="8197" width="14.5703125" bestFit="1" customWidth="1"/>
    <col min="8198" max="8198" width="38.42578125" customWidth="1"/>
    <col min="8449" max="8449" width="12.5703125" bestFit="1" customWidth="1"/>
    <col min="8450" max="8450" width="35.5703125" bestFit="1" customWidth="1"/>
    <col min="8451" max="8452" width="15.5703125" customWidth="1"/>
    <col min="8453" max="8453" width="14.5703125" bestFit="1" customWidth="1"/>
    <col min="8454" max="8454" width="38.42578125" customWidth="1"/>
    <col min="8705" max="8705" width="12.5703125" bestFit="1" customWidth="1"/>
    <col min="8706" max="8706" width="35.5703125" bestFit="1" customWidth="1"/>
    <col min="8707" max="8708" width="15.5703125" customWidth="1"/>
    <col min="8709" max="8709" width="14.5703125" bestFit="1" customWidth="1"/>
    <col min="8710" max="8710" width="38.42578125" customWidth="1"/>
    <col min="8961" max="8961" width="12.5703125" bestFit="1" customWidth="1"/>
    <col min="8962" max="8962" width="35.5703125" bestFit="1" customWidth="1"/>
    <col min="8963" max="8964" width="15.5703125" customWidth="1"/>
    <col min="8965" max="8965" width="14.5703125" bestFit="1" customWidth="1"/>
    <col min="8966" max="8966" width="38.42578125" customWidth="1"/>
    <col min="9217" max="9217" width="12.5703125" bestFit="1" customWidth="1"/>
    <col min="9218" max="9218" width="35.5703125" bestFit="1" customWidth="1"/>
    <col min="9219" max="9220" width="15.5703125" customWidth="1"/>
    <col min="9221" max="9221" width="14.5703125" bestFit="1" customWidth="1"/>
    <col min="9222" max="9222" width="38.42578125" customWidth="1"/>
    <col min="9473" max="9473" width="12.5703125" bestFit="1" customWidth="1"/>
    <col min="9474" max="9474" width="35.5703125" bestFit="1" customWidth="1"/>
    <col min="9475" max="9476" width="15.5703125" customWidth="1"/>
    <col min="9477" max="9477" width="14.5703125" bestFit="1" customWidth="1"/>
    <col min="9478" max="9478" width="38.42578125" customWidth="1"/>
    <col min="9729" max="9729" width="12.5703125" bestFit="1" customWidth="1"/>
    <col min="9730" max="9730" width="35.5703125" bestFit="1" customWidth="1"/>
    <col min="9731" max="9732" width="15.5703125" customWidth="1"/>
    <col min="9733" max="9733" width="14.5703125" bestFit="1" customWidth="1"/>
    <col min="9734" max="9734" width="38.42578125" customWidth="1"/>
    <col min="9985" max="9985" width="12.5703125" bestFit="1" customWidth="1"/>
    <col min="9986" max="9986" width="35.5703125" bestFit="1" customWidth="1"/>
    <col min="9987" max="9988" width="15.5703125" customWidth="1"/>
    <col min="9989" max="9989" width="14.5703125" bestFit="1" customWidth="1"/>
    <col min="9990" max="9990" width="38.42578125" customWidth="1"/>
    <col min="10241" max="10241" width="12.5703125" bestFit="1" customWidth="1"/>
    <col min="10242" max="10242" width="35.5703125" bestFit="1" customWidth="1"/>
    <col min="10243" max="10244" width="15.5703125" customWidth="1"/>
    <col min="10245" max="10245" width="14.5703125" bestFit="1" customWidth="1"/>
    <col min="10246" max="10246" width="38.42578125" customWidth="1"/>
    <col min="10497" max="10497" width="12.5703125" bestFit="1" customWidth="1"/>
    <col min="10498" max="10498" width="35.5703125" bestFit="1" customWidth="1"/>
    <col min="10499" max="10500" width="15.5703125" customWidth="1"/>
    <col min="10501" max="10501" width="14.5703125" bestFit="1" customWidth="1"/>
    <col min="10502" max="10502" width="38.42578125" customWidth="1"/>
    <col min="10753" max="10753" width="12.5703125" bestFit="1" customWidth="1"/>
    <col min="10754" max="10754" width="35.5703125" bestFit="1" customWidth="1"/>
    <col min="10755" max="10756" width="15.5703125" customWidth="1"/>
    <col min="10757" max="10757" width="14.5703125" bestFit="1" customWidth="1"/>
    <col min="10758" max="10758" width="38.42578125" customWidth="1"/>
    <col min="11009" max="11009" width="12.5703125" bestFit="1" customWidth="1"/>
    <col min="11010" max="11010" width="35.5703125" bestFit="1" customWidth="1"/>
    <col min="11011" max="11012" width="15.5703125" customWidth="1"/>
    <col min="11013" max="11013" width="14.5703125" bestFit="1" customWidth="1"/>
    <col min="11014" max="11014" width="38.42578125" customWidth="1"/>
    <col min="11265" max="11265" width="12.5703125" bestFit="1" customWidth="1"/>
    <col min="11266" max="11266" width="35.5703125" bestFit="1" customWidth="1"/>
    <col min="11267" max="11268" width="15.5703125" customWidth="1"/>
    <col min="11269" max="11269" width="14.5703125" bestFit="1" customWidth="1"/>
    <col min="11270" max="11270" width="38.42578125" customWidth="1"/>
    <col min="11521" max="11521" width="12.5703125" bestFit="1" customWidth="1"/>
    <col min="11522" max="11522" width="35.5703125" bestFit="1" customWidth="1"/>
    <col min="11523" max="11524" width="15.5703125" customWidth="1"/>
    <col min="11525" max="11525" width="14.5703125" bestFit="1" customWidth="1"/>
    <col min="11526" max="11526" width="38.42578125" customWidth="1"/>
    <col min="11777" max="11777" width="12.5703125" bestFit="1" customWidth="1"/>
    <col min="11778" max="11778" width="35.5703125" bestFit="1" customWidth="1"/>
    <col min="11779" max="11780" width="15.5703125" customWidth="1"/>
    <col min="11781" max="11781" width="14.5703125" bestFit="1" customWidth="1"/>
    <col min="11782" max="11782" width="38.42578125" customWidth="1"/>
    <col min="12033" max="12033" width="12.5703125" bestFit="1" customWidth="1"/>
    <col min="12034" max="12034" width="35.5703125" bestFit="1" customWidth="1"/>
    <col min="12035" max="12036" width="15.5703125" customWidth="1"/>
    <col min="12037" max="12037" width="14.5703125" bestFit="1" customWidth="1"/>
    <col min="12038" max="12038" width="38.42578125" customWidth="1"/>
    <col min="12289" max="12289" width="12.5703125" bestFit="1" customWidth="1"/>
    <col min="12290" max="12290" width="35.5703125" bestFit="1" customWidth="1"/>
    <col min="12291" max="12292" width="15.5703125" customWidth="1"/>
    <col min="12293" max="12293" width="14.5703125" bestFit="1" customWidth="1"/>
    <col min="12294" max="12294" width="38.42578125" customWidth="1"/>
    <col min="12545" max="12545" width="12.5703125" bestFit="1" customWidth="1"/>
    <col min="12546" max="12546" width="35.5703125" bestFit="1" customWidth="1"/>
    <col min="12547" max="12548" width="15.5703125" customWidth="1"/>
    <col min="12549" max="12549" width="14.5703125" bestFit="1" customWidth="1"/>
    <col min="12550" max="12550" width="38.42578125" customWidth="1"/>
    <col min="12801" max="12801" width="12.5703125" bestFit="1" customWidth="1"/>
    <col min="12802" max="12802" width="35.5703125" bestFit="1" customWidth="1"/>
    <col min="12803" max="12804" width="15.5703125" customWidth="1"/>
    <col min="12805" max="12805" width="14.5703125" bestFit="1" customWidth="1"/>
    <col min="12806" max="12806" width="38.42578125" customWidth="1"/>
    <col min="13057" max="13057" width="12.5703125" bestFit="1" customWidth="1"/>
    <col min="13058" max="13058" width="35.5703125" bestFit="1" customWidth="1"/>
    <col min="13059" max="13060" width="15.5703125" customWidth="1"/>
    <col min="13061" max="13061" width="14.5703125" bestFit="1" customWidth="1"/>
    <col min="13062" max="13062" width="38.42578125" customWidth="1"/>
    <col min="13313" max="13313" width="12.5703125" bestFit="1" customWidth="1"/>
    <col min="13314" max="13314" width="35.5703125" bestFit="1" customWidth="1"/>
    <col min="13315" max="13316" width="15.5703125" customWidth="1"/>
    <col min="13317" max="13317" width="14.5703125" bestFit="1" customWidth="1"/>
    <col min="13318" max="13318" width="38.42578125" customWidth="1"/>
    <col min="13569" max="13569" width="12.5703125" bestFit="1" customWidth="1"/>
    <col min="13570" max="13570" width="35.5703125" bestFit="1" customWidth="1"/>
    <col min="13571" max="13572" width="15.5703125" customWidth="1"/>
    <col min="13573" max="13573" width="14.5703125" bestFit="1" customWidth="1"/>
    <col min="13574" max="13574" width="38.42578125" customWidth="1"/>
    <col min="13825" max="13825" width="12.5703125" bestFit="1" customWidth="1"/>
    <col min="13826" max="13826" width="35.5703125" bestFit="1" customWidth="1"/>
    <col min="13827" max="13828" width="15.5703125" customWidth="1"/>
    <col min="13829" max="13829" width="14.5703125" bestFit="1" customWidth="1"/>
    <col min="13830" max="13830" width="38.42578125" customWidth="1"/>
    <col min="14081" max="14081" width="12.5703125" bestFit="1" customWidth="1"/>
    <col min="14082" max="14082" width="35.5703125" bestFit="1" customWidth="1"/>
    <col min="14083" max="14084" width="15.5703125" customWidth="1"/>
    <col min="14085" max="14085" width="14.5703125" bestFit="1" customWidth="1"/>
    <col min="14086" max="14086" width="38.42578125" customWidth="1"/>
    <col min="14337" max="14337" width="12.5703125" bestFit="1" customWidth="1"/>
    <col min="14338" max="14338" width="35.5703125" bestFit="1" customWidth="1"/>
    <col min="14339" max="14340" width="15.5703125" customWidth="1"/>
    <col min="14341" max="14341" width="14.5703125" bestFit="1" customWidth="1"/>
    <col min="14342" max="14342" width="38.42578125" customWidth="1"/>
    <col min="14593" max="14593" width="12.5703125" bestFit="1" customWidth="1"/>
    <col min="14594" max="14594" width="35.5703125" bestFit="1" customWidth="1"/>
    <col min="14595" max="14596" width="15.5703125" customWidth="1"/>
    <col min="14597" max="14597" width="14.5703125" bestFit="1" customWidth="1"/>
    <col min="14598" max="14598" width="38.42578125" customWidth="1"/>
    <col min="14849" max="14849" width="12.5703125" bestFit="1" customWidth="1"/>
    <col min="14850" max="14850" width="35.5703125" bestFit="1" customWidth="1"/>
    <col min="14851" max="14852" width="15.5703125" customWidth="1"/>
    <col min="14853" max="14853" width="14.5703125" bestFit="1" customWidth="1"/>
    <col min="14854" max="14854" width="38.42578125" customWidth="1"/>
    <col min="15105" max="15105" width="12.5703125" bestFit="1" customWidth="1"/>
    <col min="15106" max="15106" width="35.5703125" bestFit="1" customWidth="1"/>
    <col min="15107" max="15108" width="15.5703125" customWidth="1"/>
    <col min="15109" max="15109" width="14.5703125" bestFit="1" customWidth="1"/>
    <col min="15110" max="15110" width="38.42578125" customWidth="1"/>
    <col min="15361" max="15361" width="12.5703125" bestFit="1" customWidth="1"/>
    <col min="15362" max="15362" width="35.5703125" bestFit="1" customWidth="1"/>
    <col min="15363" max="15364" width="15.5703125" customWidth="1"/>
    <col min="15365" max="15365" width="14.5703125" bestFit="1" customWidth="1"/>
    <col min="15366" max="15366" width="38.42578125" customWidth="1"/>
    <col min="15617" max="15617" width="12.5703125" bestFit="1" customWidth="1"/>
    <col min="15618" max="15618" width="35.5703125" bestFit="1" customWidth="1"/>
    <col min="15619" max="15620" width="15.5703125" customWidth="1"/>
    <col min="15621" max="15621" width="14.5703125" bestFit="1" customWidth="1"/>
    <col min="15622" max="15622" width="38.42578125" customWidth="1"/>
    <col min="15873" max="15873" width="12.5703125" bestFit="1" customWidth="1"/>
    <col min="15874" max="15874" width="35.5703125" bestFit="1" customWidth="1"/>
    <col min="15875" max="15876" width="15.5703125" customWidth="1"/>
    <col min="15877" max="15877" width="14.5703125" bestFit="1" customWidth="1"/>
    <col min="15878" max="15878" width="38.42578125" customWidth="1"/>
    <col min="16129" max="16129" width="12.5703125" bestFit="1" customWidth="1"/>
    <col min="16130" max="16130" width="35.5703125" bestFit="1" customWidth="1"/>
    <col min="16131" max="16132" width="15.5703125" customWidth="1"/>
    <col min="16133" max="16133" width="14.5703125" bestFit="1" customWidth="1"/>
    <col min="16134" max="16134" width="38.42578125" customWidth="1"/>
  </cols>
  <sheetData>
    <row r="2" spans="1:6">
      <c r="A2" s="918" t="s">
        <v>1285</v>
      </c>
      <c r="B2" s="919">
        <v>165</v>
      </c>
    </row>
    <row r="3" spans="1:6">
      <c r="A3" s="918" t="s">
        <v>41</v>
      </c>
      <c r="B3" s="828" t="s">
        <v>310</v>
      </c>
    </row>
    <row r="4" spans="1:6">
      <c r="A4" s="918" t="s">
        <v>950</v>
      </c>
      <c r="B4" s="920">
        <v>46234</v>
      </c>
    </row>
    <row r="6" spans="1:6" ht="25.5">
      <c r="A6" s="825" t="s">
        <v>1186</v>
      </c>
      <c r="B6" s="825" t="s">
        <v>270</v>
      </c>
      <c r="C6" s="829" t="s">
        <v>1187</v>
      </c>
      <c r="D6" s="829" t="s">
        <v>1188</v>
      </c>
      <c r="E6" s="829" t="s">
        <v>1135</v>
      </c>
      <c r="F6" s="825" t="s">
        <v>1189</v>
      </c>
    </row>
    <row r="7" spans="1:6">
      <c r="A7" s="10" t="s">
        <v>1190</v>
      </c>
      <c r="B7" s="10" t="s">
        <v>1191</v>
      </c>
      <c r="C7" s="830">
        <v>0</v>
      </c>
      <c r="D7" s="830" cm="1">
        <f t="array" ref="D7">IFERROR(INDEX('TB '!G:G,MATCH(A7,'TB '!A:A,0),0),0)</f>
        <v>0</v>
      </c>
      <c r="E7" s="830">
        <f>C7-D7</f>
        <v>0</v>
      </c>
      <c r="F7" s="10"/>
    </row>
    <row r="8" spans="1:6">
      <c r="A8" s="10" t="s">
        <v>1192</v>
      </c>
      <c r="B8" s="10" t="s">
        <v>1193</v>
      </c>
      <c r="C8" s="830">
        <v>0</v>
      </c>
      <c r="D8" s="830" cm="1">
        <f t="array" ref="D8">IFERROR(INDEX('TB '!G:G,MATCH(A8,'TB '!A:A,0),0),0)</f>
        <v>0</v>
      </c>
      <c r="E8" s="830">
        <f t="shared" ref="E8:E45" si="0">C8-D8</f>
        <v>0</v>
      </c>
      <c r="F8" s="10"/>
    </row>
    <row r="9" spans="1:6">
      <c r="A9" s="10" t="s">
        <v>1194</v>
      </c>
      <c r="B9" s="10" t="s">
        <v>1195</v>
      </c>
      <c r="C9" s="830">
        <v>0</v>
      </c>
      <c r="D9" s="830" cm="1">
        <f t="array" ref="D9">IFERROR(INDEX('TB '!G:G,MATCH(A9,'TB '!A:A,0),0),0)</f>
        <v>0</v>
      </c>
      <c r="E9" s="830">
        <f t="shared" si="0"/>
        <v>0</v>
      </c>
      <c r="F9" s="10"/>
    </row>
    <row r="10" spans="1:6">
      <c r="A10" s="10" t="s">
        <v>1196</v>
      </c>
      <c r="B10" s="10" t="s">
        <v>1197</v>
      </c>
      <c r="C10" s="830">
        <v>0</v>
      </c>
      <c r="D10" s="830" cm="1">
        <f t="array" ref="D10">IFERROR(INDEX('TB '!G:G,MATCH(A10,'TB '!A:A,0),0),0)</f>
        <v>0</v>
      </c>
      <c r="E10" s="830">
        <f t="shared" si="0"/>
        <v>0</v>
      </c>
      <c r="F10" s="10"/>
    </row>
    <row r="11" spans="1:6">
      <c r="A11" s="10" t="s">
        <v>1198</v>
      </c>
      <c r="B11" s="10" t="s">
        <v>1199</v>
      </c>
      <c r="C11" s="830">
        <f>'12020'!E13</f>
        <v>0</v>
      </c>
      <c r="D11" s="830" cm="1">
        <f t="array" ref="D11">IFERROR(INDEX('TB '!G:G,MATCH(A11,'TB '!A:A,0),0),0)</f>
        <v>0</v>
      </c>
      <c r="E11" s="830">
        <f t="shared" si="0"/>
        <v>0</v>
      </c>
      <c r="F11" s="10"/>
    </row>
    <row r="12" spans="1:6">
      <c r="A12" s="194" t="s">
        <v>1217</v>
      </c>
      <c r="B12" s="10" t="s">
        <v>1218</v>
      </c>
      <c r="C12" s="830">
        <f>'12100'!E13</f>
        <v>160000</v>
      </c>
      <c r="D12" s="830" cm="1">
        <f t="array" ref="D12">IFERROR(INDEX('TB '!G:G,MATCH(A12,'TB '!A:A,0),0),0)</f>
        <v>160000</v>
      </c>
      <c r="E12" s="830">
        <f t="shared" si="0"/>
        <v>0</v>
      </c>
      <c r="F12" s="10"/>
    </row>
    <row r="13" spans="1:6">
      <c r="A13" s="10" t="s">
        <v>1054</v>
      </c>
      <c r="B13" s="10" t="s">
        <v>1055</v>
      </c>
      <c r="C13" s="830">
        <f>'12410 '!G33</f>
        <v>7086.08</v>
      </c>
      <c r="D13" s="830" cm="1">
        <f t="array" ref="D13">IFERROR(INDEX('TB '!G:G,MATCH(A13,'TB '!A:A,0),0),0)</f>
        <v>-7086.08</v>
      </c>
      <c r="E13" s="830">
        <f>C13+D13</f>
        <v>0</v>
      </c>
      <c r="F13" s="10"/>
    </row>
    <row r="14" spans="1:6">
      <c r="A14" s="10" t="s">
        <v>1200</v>
      </c>
      <c r="B14" s="10" t="s">
        <v>1201</v>
      </c>
      <c r="C14" s="830">
        <f>'13000'!F13</f>
        <v>0</v>
      </c>
      <c r="D14" s="830" cm="1">
        <f t="array" ref="D14">IFERROR(INDEX('TB '!G:G,MATCH(A14,'TB '!A:A,0),0),0)</f>
        <v>0</v>
      </c>
      <c r="E14" s="830">
        <f t="shared" si="0"/>
        <v>0</v>
      </c>
      <c r="F14" s="10"/>
    </row>
    <row r="15" spans="1:6">
      <c r="A15" s="10" t="s">
        <v>701</v>
      </c>
      <c r="B15" s="10" t="s">
        <v>1223</v>
      </c>
      <c r="C15" s="830">
        <f>'13100'!F23</f>
        <v>150</v>
      </c>
      <c r="D15" s="830" cm="1">
        <f t="array" ref="D15">IFERROR(INDEX('TB '!G:G,MATCH(A15,'TB '!A:A,0),0),0)</f>
        <v>150</v>
      </c>
      <c r="E15" s="830">
        <f>C15-D15</f>
        <v>0</v>
      </c>
      <c r="F15" s="10"/>
    </row>
    <row r="16" spans="1:6">
      <c r="A16" s="10" t="s">
        <v>983</v>
      </c>
      <c r="B16" s="10" t="s">
        <v>1056</v>
      </c>
      <c r="C16" s="830">
        <f>'Tax '!G16</f>
        <v>0</v>
      </c>
      <c r="D16" s="830" cm="1">
        <f t="array" ref="D16">IFERROR(INDEX('TB '!G:G,MATCH(A16,'TB '!A:A,0),0),0)</f>
        <v>0</v>
      </c>
      <c r="E16" s="830">
        <f>C16-D16</f>
        <v>0</v>
      </c>
      <c r="F16" s="10"/>
    </row>
    <row r="17" spans="1:6">
      <c r="A17" s="10" t="s">
        <v>1458</v>
      </c>
      <c r="B17" s="10" t="s">
        <v>1056</v>
      </c>
      <c r="C17" s="830">
        <f>'13130'!F16</f>
        <v>0</v>
      </c>
      <c r="D17" s="830" cm="1">
        <f t="array" ref="D17">IFERROR(INDEX('TB '!G:G,MATCH(A17,'TB '!A:A,0),0),0)</f>
        <v>0</v>
      </c>
      <c r="E17" s="830"/>
      <c r="F17" s="10"/>
    </row>
    <row r="18" spans="1:6" hidden="1">
      <c r="A18" s="826" t="s">
        <v>1202</v>
      </c>
      <c r="B18" s="826" t="s">
        <v>1203</v>
      </c>
      <c r="C18" s="831">
        <v>0</v>
      </c>
      <c r="D18" s="833" cm="1">
        <f t="array" ref="D18">IFERROR(INDEX('TB '!G:G,MATCH(A18,'TB '!A:A,0),0),0)</f>
        <v>0</v>
      </c>
      <c r="E18" s="833">
        <f>C18-D18</f>
        <v>0</v>
      </c>
      <c r="F18" s="826"/>
    </row>
    <row r="19" spans="1:6">
      <c r="A19" s="10" t="s">
        <v>547</v>
      </c>
      <c r="B19" s="10" t="s">
        <v>1057</v>
      </c>
      <c r="C19" s="830">
        <f>'Fixed Asset'!F13</f>
        <v>4369592.1999999993</v>
      </c>
      <c r="D19" s="830" cm="1">
        <f t="array" ref="D19">IFERROR(INDEX('TB '!G:G,MATCH(A19,'TB '!A:A,0),0),0)</f>
        <v>4369592.2</v>
      </c>
      <c r="E19" s="830">
        <f t="shared" si="0"/>
        <v>0</v>
      </c>
      <c r="F19" s="10"/>
    </row>
    <row r="20" spans="1:6">
      <c r="A20" s="10" t="s">
        <v>551</v>
      </c>
      <c r="B20" s="10" t="s">
        <v>1058</v>
      </c>
      <c r="C20" s="830">
        <f>'Fixed Asset'!F18</f>
        <v>17478368.800000001</v>
      </c>
      <c r="D20" s="830" cm="1">
        <f t="array" ref="D20">IFERROR(INDEX('TB '!G:G,MATCH(A20,'TB '!A:A,0),0),0)</f>
        <v>17478368.800000001</v>
      </c>
      <c r="E20" s="830">
        <f t="shared" si="0"/>
        <v>0</v>
      </c>
      <c r="F20" s="10"/>
    </row>
    <row r="21" spans="1:6">
      <c r="A21" s="10" t="s">
        <v>640</v>
      </c>
      <c r="B21" s="10" t="s">
        <v>1059</v>
      </c>
      <c r="C21" s="830">
        <f>'Fixed Asset'!F141</f>
        <v>2052989.6499999997</v>
      </c>
      <c r="D21" s="830" cm="1">
        <f t="array" ref="D21">IFERROR(INDEX('TB '!G:G,MATCH(A21,'TB '!A:A,0),0),0)</f>
        <v>2052989.65</v>
      </c>
      <c r="E21" s="830">
        <f t="shared" si="0"/>
        <v>0</v>
      </c>
      <c r="F21" s="10"/>
    </row>
    <row r="22" spans="1:6">
      <c r="A22" s="10" t="s">
        <v>652</v>
      </c>
      <c r="B22" s="10" t="s">
        <v>1060</v>
      </c>
      <c r="C22" s="830">
        <f>'Fixed Asset'!F154</f>
        <v>237334.8</v>
      </c>
      <c r="D22" s="830" cm="1">
        <f t="array" ref="D22">IFERROR(INDEX('TB '!G:G,MATCH(A22,'TB '!A:A,0),0),0)</f>
        <v>237334.8</v>
      </c>
      <c r="E22" s="830">
        <f t="shared" si="0"/>
        <v>0</v>
      </c>
      <c r="F22" s="10"/>
    </row>
    <row r="23" spans="1:6">
      <c r="A23" s="10" t="s">
        <v>691</v>
      </c>
      <c r="B23" s="10" t="s">
        <v>1061</v>
      </c>
      <c r="C23" s="830">
        <f>'Fixed Asset'!F201</f>
        <v>239044.55000000002</v>
      </c>
      <c r="D23" s="830" cm="1">
        <f t="array" ref="D23">IFERROR(INDEX('TB '!G:G,MATCH(A23,'TB '!A:A,0),0),0)</f>
        <v>239044.55</v>
      </c>
      <c r="E23" s="830">
        <f t="shared" si="0"/>
        <v>0</v>
      </c>
      <c r="F23" s="10"/>
    </row>
    <row r="24" spans="1:6">
      <c r="A24" s="10" t="s">
        <v>1205</v>
      </c>
      <c r="B24" s="10" t="s">
        <v>694</v>
      </c>
      <c r="C24" s="830">
        <f>'Fixed Asset'!F219</f>
        <v>442910.74</v>
      </c>
      <c r="D24" s="830" cm="1">
        <f t="array" ref="D24">IFERROR(INDEX('TB '!G:G,MATCH(A24,'TB '!A:A,0),0),0)</f>
        <v>442910.74</v>
      </c>
      <c r="E24" s="830">
        <f t="shared" si="0"/>
        <v>0</v>
      </c>
      <c r="F24" s="10"/>
    </row>
    <row r="25" spans="1:6" hidden="1">
      <c r="A25" s="826" t="s">
        <v>1206</v>
      </c>
      <c r="B25" s="826" t="s">
        <v>1207</v>
      </c>
      <c r="C25" s="831">
        <v>0</v>
      </c>
      <c r="D25" s="833" cm="1">
        <f t="array" ref="D25">IFERROR(INDEX('TB '!G:G,MATCH(A25,'TB '!A:A,0),0),0)</f>
        <v>0</v>
      </c>
      <c r="E25" s="833">
        <f t="shared" si="0"/>
        <v>0</v>
      </c>
      <c r="F25" s="826"/>
    </row>
    <row r="26" spans="1:6" hidden="1">
      <c r="A26" s="826" t="s">
        <v>1208</v>
      </c>
      <c r="B26" s="826" t="s">
        <v>1209</v>
      </c>
      <c r="C26" s="831">
        <v>0</v>
      </c>
      <c r="D26" s="833" cm="1">
        <f t="array" ref="D26">IFERROR(INDEX('TB '!G:G,MATCH(A26,'TB '!A:A,0),0),0)</f>
        <v>0</v>
      </c>
      <c r="E26" s="833">
        <f t="shared" si="0"/>
        <v>0</v>
      </c>
      <c r="F26" s="826"/>
    </row>
    <row r="27" spans="1:6">
      <c r="A27" s="10" t="s">
        <v>1210</v>
      </c>
      <c r="B27" s="10" t="s">
        <v>1211</v>
      </c>
      <c r="C27" s="830">
        <f>'20100'!F19</f>
        <v>-19358.47</v>
      </c>
      <c r="D27" s="830" cm="1">
        <f t="array" ref="D27">IFERROR(INDEX('TB '!G:G,MATCH(A27,'TB '!A:A,0),0),0)</f>
        <v>-19358.47</v>
      </c>
      <c r="E27" s="1121">
        <f t="shared" si="0"/>
        <v>0</v>
      </c>
      <c r="F27" s="10"/>
    </row>
    <row r="28" spans="1:6">
      <c r="A28" s="10" t="s">
        <v>1181</v>
      </c>
      <c r="B28" s="10" t="s">
        <v>1182</v>
      </c>
      <c r="C28" s="830">
        <f>'20650'!T47</f>
        <v>9365.57</v>
      </c>
      <c r="D28" s="830" cm="1">
        <f t="array" ref="D28">IFERROR(INDEX('TB '!G:G,MATCH(A28,'TB '!A:A,0),0),0)</f>
        <v>-9365.57</v>
      </c>
      <c r="E28" s="830">
        <f>-C28-D28</f>
        <v>0</v>
      </c>
      <c r="F28" s="10"/>
    </row>
    <row r="29" spans="1:6">
      <c r="A29" s="10" t="s">
        <v>852</v>
      </c>
      <c r="B29" s="10" t="s">
        <v>1183</v>
      </c>
      <c r="C29" s="830">
        <f>'20660'!G13</f>
        <v>139242.09</v>
      </c>
      <c r="D29" s="830" cm="1">
        <f t="array" ref="D29">-IFERROR(INDEX('TB '!G:G,MATCH(A29,'TB '!A:A,0),0),0)</f>
        <v>139242.09</v>
      </c>
      <c r="E29" s="830">
        <f t="shared" si="0"/>
        <v>0</v>
      </c>
      <c r="F29" s="10"/>
    </row>
    <row r="30" spans="1:6" hidden="1">
      <c r="A30" s="826" t="s">
        <v>1062</v>
      </c>
      <c r="B30" s="826" t="s">
        <v>1063</v>
      </c>
      <c r="C30" s="831">
        <v>0</v>
      </c>
      <c r="D30" s="833" cm="1">
        <f t="array" ref="D30">IFERROR(INDEX('TB '!G:G,MATCH(A30,'TB '!A:A,0),0),0)</f>
        <v>-149779.54</v>
      </c>
      <c r="E30" s="833">
        <f t="shared" si="0"/>
        <v>149779.54</v>
      </c>
      <c r="F30" s="826" t="s">
        <v>1204</v>
      </c>
    </row>
    <row r="31" spans="1:6" hidden="1">
      <c r="A31" s="826" t="s">
        <v>1064</v>
      </c>
      <c r="B31" s="826" t="s">
        <v>953</v>
      </c>
      <c r="C31" s="831">
        <v>0</v>
      </c>
      <c r="D31" s="833" cm="1">
        <f t="array" ref="D31">IFERROR(INDEX('TB '!G:G,MATCH(A31,'TB '!A:A,0),0),0)</f>
        <v>-142581.84</v>
      </c>
      <c r="E31" s="833">
        <f t="shared" si="0"/>
        <v>142581.84</v>
      </c>
      <c r="F31" s="826" t="s">
        <v>1204</v>
      </c>
    </row>
    <row r="32" spans="1:6">
      <c r="A32" s="10" t="s">
        <v>1212</v>
      </c>
      <c r="B32" s="10" t="s">
        <v>1213</v>
      </c>
      <c r="C32" s="830">
        <v>0</v>
      </c>
      <c r="D32" s="830" cm="1">
        <f t="array" ref="D32">IFERROR(INDEX('TB '!G:G,MATCH(A32,'TB '!A:A,0),0),0)</f>
        <v>0</v>
      </c>
      <c r="E32" s="830">
        <f t="shared" si="0"/>
        <v>0</v>
      </c>
      <c r="F32" s="10"/>
    </row>
    <row r="33" spans="1:6" hidden="1">
      <c r="A33" s="826" t="s">
        <v>834</v>
      </c>
      <c r="B33" s="826" t="s">
        <v>1065</v>
      </c>
      <c r="C33" s="833">
        <v>0</v>
      </c>
      <c r="D33" s="833" cm="1">
        <f t="array" ref="D33">IFERROR(INDEX('TB '!G:G,MATCH(A33,'TB '!A:A,0),0),0)</f>
        <v>-66144.740000000005</v>
      </c>
      <c r="E33" s="833">
        <f t="shared" si="0"/>
        <v>66144.740000000005</v>
      </c>
      <c r="F33" s="826" t="s">
        <v>1204</v>
      </c>
    </row>
    <row r="34" spans="1:6">
      <c r="A34" s="10" t="s">
        <v>1214</v>
      </c>
      <c r="B34" s="10" t="s">
        <v>1215</v>
      </c>
      <c r="C34" s="830">
        <v>0</v>
      </c>
      <c r="D34" s="830" cm="1">
        <f t="array" ref="D34">IFERROR(INDEX('TB '!G:G,MATCH(A34,'TB '!A:A,0),0),0)</f>
        <v>0</v>
      </c>
      <c r="E34" s="830">
        <f t="shared" si="0"/>
        <v>0</v>
      </c>
    </row>
    <row r="35" spans="1:6">
      <c r="A35" s="10" t="s">
        <v>1219</v>
      </c>
      <c r="B35" s="10" t="s">
        <v>1220</v>
      </c>
      <c r="C35" s="830">
        <v>0</v>
      </c>
      <c r="D35" s="830" cm="1">
        <f t="array" ref="D35">IFERROR(INDEX('TB '!G:G,MATCH(A35,'TB '!A:A,0),0),0)</f>
        <v>0</v>
      </c>
      <c r="E35" s="830">
        <f t="shared" si="0"/>
        <v>0</v>
      </c>
      <c r="F35" s="10"/>
    </row>
    <row r="36" spans="1:6" hidden="1">
      <c r="A36" s="826" t="s">
        <v>1066</v>
      </c>
      <c r="B36" s="826" t="s">
        <v>1067</v>
      </c>
      <c r="C36" s="831">
        <v>0</v>
      </c>
      <c r="D36" s="833" cm="1">
        <f t="array" ref="D36">IFERROR(INDEX('TB '!G:G,MATCH(A36,'TB '!A:A,0),0),0)</f>
        <v>-7824551.1900000004</v>
      </c>
      <c r="E36" s="833">
        <f t="shared" si="0"/>
        <v>7824551.1900000004</v>
      </c>
      <c r="F36" s="827" t="s">
        <v>1204</v>
      </c>
    </row>
    <row r="37" spans="1:6">
      <c r="A37" s="10" t="s">
        <v>855</v>
      </c>
      <c r="B37" s="10" t="s">
        <v>1068</v>
      </c>
      <c r="C37" s="830">
        <f>'35000'!E95</f>
        <v>14597709.449999999</v>
      </c>
      <c r="D37" s="830" cm="1">
        <f t="array" ref="D37">IFERROR(INDEX('TB '!G:G,MATCH(A37,'TB '!A:A,0),0),0)</f>
        <v>14597709.449999999</v>
      </c>
      <c r="E37" s="830">
        <f t="shared" si="0"/>
        <v>0</v>
      </c>
      <c r="F37" s="10"/>
    </row>
    <row r="38" spans="1:6">
      <c r="A38" s="10" t="s">
        <v>916</v>
      </c>
      <c r="B38" s="10" t="s">
        <v>1069</v>
      </c>
      <c r="C38" s="830">
        <f>'36000'!E20</f>
        <v>-342383.2</v>
      </c>
      <c r="D38" s="830" cm="1">
        <f t="array" ref="D38">IFERROR(INDEX('TB '!G:G,MATCH(A38,'TB '!A:A,0),0),0)</f>
        <v>-342383.2</v>
      </c>
      <c r="E38" s="830">
        <f t="shared" si="0"/>
        <v>0</v>
      </c>
      <c r="F38" s="10"/>
    </row>
    <row r="39" spans="1:6" hidden="1">
      <c r="A39" s="826" t="s">
        <v>1221</v>
      </c>
      <c r="B39" s="826" t="s">
        <v>1222</v>
      </c>
      <c r="C39" s="928">
        <v>0</v>
      </c>
      <c r="D39" s="833" cm="1">
        <f t="array" ref="D39">IFERROR(INDEX('TB '!G:G,MATCH(A39,'TB '!A:A,0),0),0)</f>
        <v>-10500</v>
      </c>
      <c r="E39" s="833">
        <f t="shared" si="0"/>
        <v>10500</v>
      </c>
      <c r="F39" s="827" t="s">
        <v>1204</v>
      </c>
    </row>
    <row r="40" spans="1:6" hidden="1">
      <c r="A40" s="10" t="s">
        <v>1078</v>
      </c>
      <c r="B40" s="10" t="s">
        <v>1079</v>
      </c>
      <c r="C40" s="832">
        <f>'12410 '!H33</f>
        <v>0</v>
      </c>
      <c r="D40" s="830" cm="1">
        <f t="array" ref="D40">IFERROR(INDEX('TB '!G:G,MATCH(A40,'TB '!A:A,0),0),0)</f>
        <v>0</v>
      </c>
      <c r="E40" s="830">
        <f t="shared" si="0"/>
        <v>0</v>
      </c>
      <c r="F40" s="10"/>
    </row>
    <row r="41" spans="1:6">
      <c r="D41" s="830"/>
      <c r="E41" s="830"/>
    </row>
    <row r="42" spans="1:6">
      <c r="A42" s="828" t="s">
        <v>1216</v>
      </c>
      <c r="B42" s="10"/>
      <c r="C42" s="832"/>
      <c r="D42" s="830"/>
      <c r="E42" s="830"/>
      <c r="F42" s="10"/>
    </row>
    <row r="43" spans="1:6">
      <c r="A43" s="10" t="s">
        <v>1003</v>
      </c>
      <c r="B43" s="10" t="s">
        <v>1075</v>
      </c>
      <c r="C43" s="832">
        <f>'INSURANCE '!C20</f>
        <v>126056.82999999999</v>
      </c>
      <c r="D43" s="830" cm="1">
        <f t="array" ref="D43">IFERROR(INDEX('TB '!G:G,MATCH(A43,'TB '!A:A,0),0),0)</f>
        <v>126056.83</v>
      </c>
      <c r="E43" s="830">
        <f t="shared" si="0"/>
        <v>0</v>
      </c>
      <c r="F43" s="10"/>
    </row>
    <row r="44" spans="1:6">
      <c r="A44" s="10" t="s">
        <v>1004</v>
      </c>
      <c r="B44" s="10" t="s">
        <v>1076</v>
      </c>
      <c r="C44" s="832">
        <f>'INSURANCE '!D20</f>
        <v>10611.19</v>
      </c>
      <c r="D44" s="830" cm="1">
        <f t="array" ref="D44">IFERROR(INDEX('TB '!G:G,MATCH(A44,'TB '!A:A,0),0),0)</f>
        <v>10611.19</v>
      </c>
      <c r="E44" s="830">
        <f t="shared" si="0"/>
        <v>0</v>
      </c>
      <c r="F44" s="10"/>
    </row>
    <row r="45" spans="1:6">
      <c r="A45" s="10" t="s">
        <v>1005</v>
      </c>
      <c r="B45" s="10" t="s">
        <v>1077</v>
      </c>
      <c r="C45" s="832">
        <f>'INSURANCE '!E20</f>
        <v>5238.4599999999991</v>
      </c>
      <c r="D45" s="830" cm="1">
        <f t="array" ref="D45">IFERROR(INDEX('TB '!G:G,MATCH(A45,'TB '!A:A,0),0),0)</f>
        <v>5238.46</v>
      </c>
      <c r="E45" s="830">
        <f t="shared" si="0"/>
        <v>0</v>
      </c>
      <c r="F45" s="10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8">
    <pageSetUpPr autoPageBreaks="0" fitToPage="1"/>
  </sheetPr>
  <dimension ref="A1:J27"/>
  <sheetViews>
    <sheetView workbookViewId="0">
      <pane ySplit="7" topLeftCell="A8" activePane="bottomLeft" state="frozen"/>
      <selection pane="bottomLeft" activeCell="H23" sqref="H23"/>
    </sheetView>
  </sheetViews>
  <sheetFormatPr defaultColWidth="9.42578125" defaultRowHeight="12.75"/>
  <cols>
    <col min="1" max="1" width="12.5703125" style="402" customWidth="1"/>
    <col min="2" max="2" width="2.5703125" style="402" customWidth="1"/>
    <col min="3" max="3" width="54.5703125" style="402" bestFit="1" customWidth="1"/>
    <col min="4" max="4" width="2.5703125" style="402" customWidth="1"/>
    <col min="5" max="5" width="30.42578125" style="402" customWidth="1"/>
    <col min="6" max="16384" width="9.42578125" style="402"/>
  </cols>
  <sheetData>
    <row r="1" spans="1:10" s="379" customFormat="1" ht="18">
      <c r="A1" s="1179" t="str">
        <f>'Review Comments'!B9</f>
        <v>COCONUT GROVE RETAIL XIII, LLC</v>
      </c>
      <c r="B1" s="1180"/>
      <c r="C1" s="1180"/>
      <c r="D1" s="1180"/>
      <c r="E1" s="1181"/>
    </row>
    <row r="2" spans="1:10" s="379" customFormat="1" ht="18">
      <c r="A2" s="1182" t="s">
        <v>469</v>
      </c>
      <c r="B2" s="1183"/>
      <c r="C2" s="1183"/>
      <c r="D2" s="1183"/>
      <c r="E2" s="1184"/>
    </row>
    <row r="3" spans="1:10" s="379" customFormat="1" ht="18.75" thickBot="1">
      <c r="A3" s="1185" t="str">
        <f>'Review Comments'!B11</f>
        <v>FOR THE MONTH 07/31/2026</v>
      </c>
      <c r="B3" s="1186"/>
      <c r="C3" s="1186"/>
      <c r="D3" s="1186"/>
      <c r="E3" s="1187"/>
    </row>
    <row r="4" spans="1:10" s="379" customFormat="1"/>
    <row r="5" spans="1:10" s="379" customFormat="1" ht="13.5" thickBot="1"/>
    <row r="6" spans="1:10" s="379" customFormat="1">
      <c r="A6" s="380"/>
      <c r="B6" s="381"/>
      <c r="C6" s="381"/>
      <c r="D6" s="381"/>
      <c r="E6" s="382"/>
    </row>
    <row r="7" spans="1:10" s="379" customFormat="1" ht="26.25" thickBot="1">
      <c r="A7" s="383" t="s">
        <v>303</v>
      </c>
      <c r="B7" s="384"/>
      <c r="C7" s="384" t="s">
        <v>10</v>
      </c>
      <c r="D7" s="384"/>
      <c r="E7" s="385" t="s">
        <v>105</v>
      </c>
      <c r="F7" s="386"/>
      <c r="G7" s="386"/>
      <c r="H7" s="386"/>
      <c r="I7" s="386"/>
      <c r="J7" s="386"/>
    </row>
    <row r="8" spans="1:10" s="379" customFormat="1">
      <c r="A8" s="387"/>
      <c r="E8" s="388"/>
    </row>
    <row r="9" spans="1:10" s="379" customFormat="1">
      <c r="A9" s="778"/>
      <c r="B9" s="390"/>
      <c r="C9" s="391"/>
      <c r="D9" s="390"/>
      <c r="E9" s="551"/>
    </row>
    <row r="10" spans="1:10" s="379" customFormat="1">
      <c r="A10" s="778"/>
      <c r="B10" s="390"/>
      <c r="C10" s="391"/>
      <c r="D10" s="390"/>
      <c r="E10" s="551"/>
    </row>
    <row r="11" spans="1:10" s="379" customFormat="1">
      <c r="A11" s="428"/>
      <c r="B11" s="390"/>
      <c r="C11" s="391"/>
      <c r="D11" s="390"/>
      <c r="E11" s="393"/>
    </row>
    <row r="12" spans="1:10" s="379" customFormat="1">
      <c r="A12" s="428"/>
      <c r="B12" s="390"/>
      <c r="C12" s="429"/>
      <c r="D12" s="390"/>
      <c r="E12" s="393"/>
    </row>
    <row r="13" spans="1:10" s="400" customFormat="1" ht="13.5" thickBot="1">
      <c r="A13" s="396"/>
      <c r="B13" s="397"/>
      <c r="C13" s="397" t="s">
        <v>306</v>
      </c>
      <c r="D13" s="397"/>
      <c r="E13" s="553">
        <f>SUM(E9:E11)</f>
        <v>0</v>
      </c>
    </row>
    <row r="14" spans="1:10" s="379" customFormat="1" ht="13.5" thickBot="1">
      <c r="A14" s="390"/>
      <c r="B14" s="390"/>
      <c r="C14" s="390"/>
      <c r="D14" s="390"/>
      <c r="E14" s="390"/>
    </row>
    <row r="15" spans="1:10" s="379" customFormat="1">
      <c r="A15" s="1188"/>
      <c r="B15" s="1189"/>
      <c r="C15" s="836" t="s">
        <v>1198</v>
      </c>
      <c r="D15" s="837">
        <v>0</v>
      </c>
      <c r="E15" s="837" cm="1">
        <f t="array" ref="E15">IFERROR(INDEX('TB '!G:G,MATCH(12020,'TB '!A:A,0),0),0)</f>
        <v>0</v>
      </c>
    </row>
    <row r="16" spans="1:10" s="379" customFormat="1" ht="13.5" thickBot="1">
      <c r="A16" s="1190"/>
      <c r="B16" s="1191"/>
      <c r="C16" s="838" t="s">
        <v>712</v>
      </c>
      <c r="D16" s="839">
        <f>+D13-D15</f>
        <v>0</v>
      </c>
      <c r="E16" s="841">
        <f>E13-E15</f>
        <v>0</v>
      </c>
    </row>
    <row r="17" spans="2:5" s="379" customFormat="1"/>
    <row r="18" spans="2:5">
      <c r="B18" s="403"/>
      <c r="C18" s="379"/>
      <c r="E18" s="672"/>
    </row>
    <row r="19" spans="2:5">
      <c r="C19" s="379"/>
    </row>
    <row r="20" spans="2:5">
      <c r="C20" s="379"/>
      <c r="E20" s="672"/>
    </row>
    <row r="21" spans="2:5">
      <c r="C21" s="379"/>
    </row>
    <row r="22" spans="2:5">
      <c r="C22" s="379"/>
    </row>
    <row r="23" spans="2:5">
      <c r="C23" s="379"/>
    </row>
    <row r="24" spans="2:5">
      <c r="C24" s="379"/>
    </row>
    <row r="25" spans="2:5">
      <c r="C25" s="379"/>
    </row>
    <row r="26" spans="2:5">
      <c r="C26" s="379"/>
    </row>
    <row r="27" spans="2:5">
      <c r="C27" s="379"/>
    </row>
  </sheetData>
  <mergeCells count="4">
    <mergeCell ref="A1:E1"/>
    <mergeCell ref="A2:E2"/>
    <mergeCell ref="A3:E3"/>
    <mergeCell ref="A15:B16"/>
  </mergeCells>
  <printOptions horizontalCentered="1"/>
  <pageMargins left="0.75" right="0.75" top="1" bottom="1" header="0.5" footer="0.5"/>
  <pageSetup scale="68" orientation="portrait"/>
  <headerFooter alignWithMargins="0">
    <oddFooter>&amp;R&amp;F
&amp;D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6">
    <pageSetUpPr fitToPage="1"/>
  </sheetPr>
  <dimension ref="A1:H38"/>
  <sheetViews>
    <sheetView zoomScaleNormal="100" workbookViewId="0">
      <pane ySplit="6" topLeftCell="A16" activePane="bottomLeft" state="frozen"/>
      <selection activeCell="D16" sqref="D16"/>
      <selection pane="bottomLeft" activeCell="H12" sqref="H12"/>
    </sheetView>
  </sheetViews>
  <sheetFormatPr defaultColWidth="12.42578125" defaultRowHeight="15"/>
  <cols>
    <col min="1" max="1" width="14.5703125" style="340" customWidth="1"/>
    <col min="2" max="2" width="2" style="340" customWidth="1"/>
    <col min="3" max="3" width="29.42578125" style="340" customWidth="1"/>
    <col min="4" max="4" width="31.42578125" style="340" customWidth="1"/>
    <col min="5" max="5" width="2.42578125" style="340" customWidth="1"/>
    <col min="6" max="6" width="18" style="375" customWidth="1"/>
    <col min="7" max="7" width="2.5703125" style="344" customWidth="1"/>
    <col min="8" max="8" width="73.42578125" style="340" customWidth="1"/>
    <col min="9" max="16384" width="12.42578125" style="340"/>
  </cols>
  <sheetData>
    <row r="1" spans="1:8" s="339" customFormat="1" ht="18">
      <c r="A1" s="1192" t="str">
        <f>'Review Comments'!B9</f>
        <v>COCONUT GROVE RETAIL XIII, LLC</v>
      </c>
      <c r="B1" s="1193"/>
      <c r="C1" s="1193"/>
      <c r="D1" s="1193"/>
      <c r="E1" s="1193"/>
      <c r="F1" s="1193"/>
      <c r="G1" s="1193"/>
      <c r="H1" s="1194"/>
    </row>
    <row r="2" spans="1:8" s="339" customFormat="1" ht="18">
      <c r="A2" s="1195" t="s">
        <v>470</v>
      </c>
      <c r="B2" s="1196"/>
      <c r="C2" s="1196"/>
      <c r="D2" s="1196"/>
      <c r="E2" s="1196"/>
      <c r="F2" s="1196"/>
      <c r="G2" s="1196"/>
      <c r="H2" s="1197"/>
    </row>
    <row r="3" spans="1:8" s="339" customFormat="1" ht="18.75" thickBot="1">
      <c r="A3" s="1198" t="str">
        <f>'Review Comments'!B11</f>
        <v>FOR THE MONTH 07/31/2026</v>
      </c>
      <c r="B3" s="1199"/>
      <c r="C3" s="1199"/>
      <c r="D3" s="1199"/>
      <c r="E3" s="1199"/>
      <c r="F3" s="1199"/>
      <c r="G3" s="1199"/>
      <c r="H3" s="1200"/>
    </row>
    <row r="4" spans="1:8" ht="15.75" thickBot="1">
      <c r="D4" s="341"/>
      <c r="E4" s="342"/>
      <c r="F4" s="343"/>
      <c r="H4" s="345"/>
    </row>
    <row r="5" spans="1:8" s="345" customFormat="1" ht="12.75">
      <c r="A5" s="346"/>
      <c r="B5" s="347"/>
      <c r="C5" s="347"/>
      <c r="D5" s="348"/>
      <c r="E5" s="349"/>
      <c r="F5" s="350"/>
      <c r="G5" s="351"/>
      <c r="H5" s="352"/>
    </row>
    <row r="6" spans="1:8" s="345" customFormat="1" ht="13.5" thickBot="1">
      <c r="A6" s="353" t="s">
        <v>40</v>
      </c>
      <c r="B6" s="354"/>
      <c r="C6" s="355" t="s">
        <v>144</v>
      </c>
      <c r="D6" s="355" t="s">
        <v>471</v>
      </c>
      <c r="E6" s="354"/>
      <c r="F6" s="356" t="s">
        <v>11</v>
      </c>
      <c r="G6" s="357"/>
      <c r="H6" s="358" t="s">
        <v>10</v>
      </c>
    </row>
    <row r="7" spans="1:8" s="345" customFormat="1" ht="12.75">
      <c r="A7" s="359"/>
      <c r="C7" s="360"/>
      <c r="D7" s="360"/>
      <c r="F7" s="361"/>
      <c r="G7" s="344"/>
      <c r="H7" s="362"/>
    </row>
    <row r="8" spans="1:8" s="345" customFormat="1" ht="12.75" hidden="1">
      <c r="A8" s="600">
        <v>44033</v>
      </c>
      <c r="B8" s="601"/>
      <c r="C8" s="601" t="s">
        <v>472</v>
      </c>
      <c r="D8" s="602"/>
      <c r="E8" s="601"/>
      <c r="F8" s="603">
        <v>0</v>
      </c>
      <c r="G8" s="344"/>
      <c r="H8" s="599" t="s">
        <v>473</v>
      </c>
    </row>
    <row r="9" spans="1:8" s="345" customFormat="1" ht="12.75">
      <c r="A9" s="364">
        <v>44406</v>
      </c>
      <c r="B9" s="601"/>
      <c r="C9" s="601" t="s">
        <v>474</v>
      </c>
      <c r="D9" s="602" t="s">
        <v>475</v>
      </c>
      <c r="E9" s="601"/>
      <c r="F9" s="603">
        <v>480.54</v>
      </c>
      <c r="G9" s="344"/>
      <c r="H9" s="599" t="s">
        <v>476</v>
      </c>
    </row>
    <row r="10" spans="1:8" s="345" customFormat="1" ht="12.75">
      <c r="A10" s="364">
        <v>44462</v>
      </c>
      <c r="B10" s="601"/>
      <c r="C10" s="601" t="s">
        <v>477</v>
      </c>
      <c r="D10" s="602" t="s">
        <v>478</v>
      </c>
      <c r="E10" s="601"/>
      <c r="F10" s="603">
        <v>-394.12</v>
      </c>
      <c r="G10" s="344"/>
      <c r="H10" s="599" t="s">
        <v>479</v>
      </c>
    </row>
    <row r="11" spans="1:8" s="345" customFormat="1" ht="12.75">
      <c r="A11" s="364">
        <v>44469</v>
      </c>
      <c r="B11" s="601"/>
      <c r="C11" s="601" t="s">
        <v>477</v>
      </c>
      <c r="D11" s="602" t="s">
        <v>478</v>
      </c>
      <c r="E11" s="601"/>
      <c r="F11" s="603">
        <v>394.12</v>
      </c>
      <c r="G11" s="344"/>
      <c r="H11" s="599" t="s">
        <v>480</v>
      </c>
    </row>
    <row r="12" spans="1:8" s="345" customFormat="1" ht="13.5" customHeight="1">
      <c r="A12" s="364"/>
      <c r="D12" s="365"/>
      <c r="F12" s="363"/>
      <c r="G12" s="344"/>
      <c r="H12" s="366"/>
    </row>
    <row r="13" spans="1:8" ht="15.75" thickBot="1">
      <c r="A13" s="367"/>
      <c r="B13" s="368"/>
      <c r="C13" s="368"/>
      <c r="D13" s="369" t="s">
        <v>481</v>
      </c>
      <c r="E13" s="370"/>
      <c r="F13" s="371">
        <f>SUM(F8:F12)</f>
        <v>480.54</v>
      </c>
      <c r="G13" s="372"/>
      <c r="H13" s="373"/>
    </row>
    <row r="14" spans="1:8">
      <c r="D14" s="345"/>
      <c r="E14" s="345"/>
      <c r="F14" s="374"/>
      <c r="H14" s="345"/>
    </row>
    <row r="15" spans="1:8">
      <c r="D15" s="345"/>
      <c r="E15" s="345"/>
      <c r="F15" s="374"/>
      <c r="H15" s="345"/>
    </row>
    <row r="16" spans="1:8" ht="15.75" thickBot="1"/>
    <row r="17" spans="1:8" s="345" customFormat="1" ht="12.75">
      <c r="A17" s="346"/>
      <c r="B17" s="347"/>
      <c r="C17" s="347"/>
      <c r="D17" s="348"/>
      <c r="E17" s="349"/>
      <c r="F17" s="350"/>
      <c r="G17" s="351"/>
      <c r="H17" s="352"/>
    </row>
    <row r="18" spans="1:8" s="345" customFormat="1" ht="13.5" thickBot="1">
      <c r="A18" s="353" t="s">
        <v>40</v>
      </c>
      <c r="B18" s="354"/>
      <c r="C18" s="355" t="s">
        <v>144</v>
      </c>
      <c r="D18" s="355" t="s">
        <v>471</v>
      </c>
      <c r="E18" s="354"/>
      <c r="F18" s="356" t="s">
        <v>11</v>
      </c>
      <c r="G18" s="357"/>
      <c r="H18" s="358" t="s">
        <v>10</v>
      </c>
    </row>
    <row r="19" spans="1:8" s="345" customFormat="1" ht="12.75">
      <c r="A19" s="359"/>
      <c r="C19" s="360"/>
      <c r="D19" s="360"/>
      <c r="F19" s="361"/>
      <c r="G19" s="344"/>
      <c r="H19" s="362"/>
    </row>
    <row r="20" spans="1:8" s="345" customFormat="1" ht="12.75" hidden="1">
      <c r="A20" s="600">
        <v>44033</v>
      </c>
      <c r="B20" s="601"/>
      <c r="C20" s="601" t="s">
        <v>472</v>
      </c>
      <c r="D20" s="602"/>
      <c r="E20" s="601"/>
      <c r="F20" s="603">
        <v>0</v>
      </c>
      <c r="G20" s="344"/>
      <c r="H20" s="599" t="s">
        <v>473</v>
      </c>
    </row>
    <row r="21" spans="1:8" s="345" customFormat="1" ht="12.75">
      <c r="A21" s="600">
        <v>44376</v>
      </c>
      <c r="B21" s="601"/>
      <c r="C21" s="601" t="s">
        <v>482</v>
      </c>
      <c r="D21" s="602" t="s">
        <v>483</v>
      </c>
      <c r="E21" s="601"/>
      <c r="F21" s="603">
        <v>1136.1300000000001</v>
      </c>
      <c r="G21" s="344"/>
      <c r="H21" s="599" t="s">
        <v>484</v>
      </c>
    </row>
    <row r="22" spans="1:8" s="345" customFormat="1" ht="12.75">
      <c r="A22" s="600">
        <v>44376</v>
      </c>
      <c r="C22" s="601" t="s">
        <v>482</v>
      </c>
      <c r="D22" s="602" t="s">
        <v>483</v>
      </c>
      <c r="F22" s="603">
        <v>1385.55</v>
      </c>
      <c r="G22" s="344"/>
      <c r="H22" s="599" t="s">
        <v>484</v>
      </c>
    </row>
    <row r="23" spans="1:8" s="345" customFormat="1" ht="12.75" hidden="1">
      <c r="A23" s="600">
        <v>43308</v>
      </c>
      <c r="B23" s="601"/>
      <c r="C23" s="601" t="s">
        <v>485</v>
      </c>
      <c r="D23" s="602" t="s">
        <v>475</v>
      </c>
      <c r="E23" s="601"/>
      <c r="F23" s="603"/>
      <c r="G23" s="344"/>
      <c r="H23" s="599" t="s">
        <v>486</v>
      </c>
    </row>
    <row r="24" spans="1:8" s="345" customFormat="1" ht="12.75" hidden="1">
      <c r="A24" s="600">
        <v>43308</v>
      </c>
      <c r="B24" s="601"/>
      <c r="C24" s="601" t="s">
        <v>485</v>
      </c>
      <c r="D24" s="602" t="s">
        <v>475</v>
      </c>
      <c r="E24" s="601"/>
      <c r="F24" s="603"/>
      <c r="G24" s="344"/>
      <c r="H24" s="599" t="s">
        <v>486</v>
      </c>
    </row>
    <row r="25" spans="1:8" s="345" customFormat="1" ht="12.75" hidden="1">
      <c r="A25" s="600">
        <v>43308</v>
      </c>
      <c r="B25" s="601"/>
      <c r="C25" s="601" t="s">
        <v>485</v>
      </c>
      <c r="D25" s="602" t="s">
        <v>475</v>
      </c>
      <c r="E25" s="601"/>
      <c r="F25" s="603"/>
      <c r="G25" s="344"/>
      <c r="H25" s="599" t="s">
        <v>486</v>
      </c>
    </row>
    <row r="26" spans="1:8" s="345" customFormat="1" ht="12.75" hidden="1">
      <c r="A26" s="600">
        <v>43308</v>
      </c>
      <c r="B26" s="601"/>
      <c r="C26" s="601" t="s">
        <v>485</v>
      </c>
      <c r="D26" s="602" t="s">
        <v>475</v>
      </c>
      <c r="E26" s="601"/>
      <c r="F26" s="603"/>
      <c r="G26" s="344"/>
      <c r="H26" s="599" t="s">
        <v>486</v>
      </c>
    </row>
    <row r="27" spans="1:8" s="345" customFormat="1" ht="12.75" hidden="1">
      <c r="A27" s="600">
        <v>43308</v>
      </c>
      <c r="B27" s="601"/>
      <c r="C27" s="601" t="s">
        <v>485</v>
      </c>
      <c r="D27" s="602" t="s">
        <v>475</v>
      </c>
      <c r="E27" s="601"/>
      <c r="F27" s="603"/>
      <c r="G27" s="344"/>
      <c r="H27" s="599" t="s">
        <v>486</v>
      </c>
    </row>
    <row r="28" spans="1:8" s="345" customFormat="1" ht="12.75">
      <c r="A28" s="364">
        <v>44406</v>
      </c>
      <c r="B28" s="601"/>
      <c r="C28" s="601" t="s">
        <v>474</v>
      </c>
      <c r="D28" s="602" t="s">
        <v>475</v>
      </c>
      <c r="E28" s="601"/>
      <c r="F28" s="603">
        <v>480.54</v>
      </c>
      <c r="G28" s="344"/>
      <c r="H28" s="599" t="s">
        <v>476</v>
      </c>
    </row>
    <row r="29" spans="1:8" s="345" customFormat="1" ht="12.75">
      <c r="A29" s="364">
        <v>44433</v>
      </c>
      <c r="B29" s="601"/>
      <c r="C29" s="601" t="s">
        <v>482</v>
      </c>
      <c r="D29" s="602" t="s">
        <v>483</v>
      </c>
      <c r="E29" s="601"/>
      <c r="F29" s="603">
        <v>-2521.6799999999998</v>
      </c>
      <c r="G29" s="344"/>
      <c r="H29" s="599" t="s">
        <v>487</v>
      </c>
    </row>
    <row r="30" spans="1:8" s="345" customFormat="1" ht="12.75">
      <c r="A30" s="364">
        <v>44462</v>
      </c>
      <c r="B30" s="601"/>
      <c r="C30" s="601" t="s">
        <v>477</v>
      </c>
      <c r="D30" s="602" t="s">
        <v>478</v>
      </c>
      <c r="E30" s="601"/>
      <c r="F30" s="603">
        <v>-394.12</v>
      </c>
      <c r="G30" s="344"/>
      <c r="H30" s="599" t="s">
        <v>487</v>
      </c>
    </row>
    <row r="31" spans="1:8" s="345" customFormat="1" ht="12.75">
      <c r="A31" s="364">
        <v>44469</v>
      </c>
      <c r="B31" s="601"/>
      <c r="C31" s="601" t="s">
        <v>477</v>
      </c>
      <c r="D31" s="602" t="s">
        <v>478</v>
      </c>
      <c r="E31" s="601"/>
      <c r="F31" s="603">
        <v>394.12</v>
      </c>
      <c r="G31" s="344"/>
      <c r="H31" s="599" t="s">
        <v>488</v>
      </c>
    </row>
    <row r="32" spans="1:8" s="345" customFormat="1" ht="13.5" customHeight="1">
      <c r="A32" s="364"/>
      <c r="C32" s="601"/>
      <c r="D32" s="365"/>
      <c r="F32" s="363"/>
      <c r="G32" s="344"/>
      <c r="H32" s="366"/>
    </row>
    <row r="33" spans="1:8" ht="15.75" thickBot="1">
      <c r="A33" s="367"/>
      <c r="B33" s="368"/>
      <c r="C33" s="368"/>
      <c r="D33" s="369" t="s">
        <v>489</v>
      </c>
      <c r="E33" s="370"/>
      <c r="F33" s="371">
        <f>SUM(F20:F32)</f>
        <v>480.54000000000042</v>
      </c>
      <c r="G33" s="372"/>
      <c r="H33" s="373"/>
    </row>
    <row r="34" spans="1:8">
      <c r="D34" s="345"/>
      <c r="E34" s="345"/>
      <c r="F34" s="374"/>
      <c r="H34" s="345"/>
    </row>
    <row r="35" spans="1:8">
      <c r="D35" s="345"/>
      <c r="E35" s="345"/>
      <c r="F35" s="374"/>
      <c r="H35" s="345"/>
    </row>
    <row r="36" spans="1:8">
      <c r="D36" s="345"/>
      <c r="E36" s="345"/>
      <c r="F36" s="374"/>
      <c r="H36" s="345"/>
    </row>
    <row r="37" spans="1:8">
      <c r="D37" s="345"/>
      <c r="E37" s="345"/>
      <c r="F37" s="374"/>
      <c r="H37" s="345"/>
    </row>
    <row r="38" spans="1:8">
      <c r="D38" s="345"/>
      <c r="E38" s="345"/>
      <c r="F38" s="374"/>
      <c r="H38" s="345"/>
    </row>
  </sheetData>
  <mergeCells count="3">
    <mergeCell ref="A1:H1"/>
    <mergeCell ref="A2:H2"/>
    <mergeCell ref="A3:H3"/>
  </mergeCells>
  <pageMargins left="0.75" right="0.75" top="1" bottom="1" header="0.5" footer="0.5"/>
  <pageSetup scale="71" orientation="landscape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7">
    <tabColor rgb="FF00B0F0"/>
  </sheetPr>
  <dimension ref="A1:N38"/>
  <sheetViews>
    <sheetView zoomScaleNormal="100" workbookViewId="0">
      <selection activeCell="C19" sqref="C19"/>
    </sheetView>
  </sheetViews>
  <sheetFormatPr defaultRowHeight="12.75"/>
  <cols>
    <col min="1" max="1" width="32.42578125" customWidth="1"/>
    <col min="2" max="2" width="20.42578125" customWidth="1"/>
    <col min="3" max="3" width="22.42578125" customWidth="1"/>
    <col min="4" max="4" width="20.5703125" customWidth="1"/>
    <col min="5" max="5" width="16.5703125" customWidth="1"/>
    <col min="6" max="6" width="14.5703125" customWidth="1"/>
    <col min="7" max="8" width="14.42578125" customWidth="1"/>
    <col min="9" max="9" width="29.5703125" customWidth="1"/>
    <col min="12" max="13" width="10.42578125" bestFit="1" customWidth="1"/>
    <col min="14" max="14" width="9.5703125" bestFit="1" customWidth="1"/>
  </cols>
  <sheetData>
    <row r="1" spans="1:14" s="296" customFormat="1" ht="18">
      <c r="A1" s="1179" t="str">
        <f>'Review Comments'!B9</f>
        <v>COCONUT GROVE RETAIL XIII, LLC</v>
      </c>
      <c r="B1" s="1180"/>
      <c r="C1" s="1180"/>
      <c r="D1" s="1180"/>
      <c r="E1" s="1180"/>
      <c r="F1" s="1181"/>
    </row>
    <row r="2" spans="1:14" s="296" customFormat="1" ht="18">
      <c r="A2" s="1201" t="s">
        <v>490</v>
      </c>
      <c r="B2" s="1202"/>
      <c r="C2" s="1202"/>
      <c r="D2" s="1202"/>
      <c r="E2" s="1202"/>
      <c r="F2" s="1203"/>
    </row>
    <row r="3" spans="1:14" s="296" customFormat="1" ht="18.75" thickBot="1">
      <c r="A3" s="1204" t="str">
        <f>'Review Comments'!B11</f>
        <v>FOR THE MONTH 07/31/2026</v>
      </c>
      <c r="B3" s="1205"/>
      <c r="C3" s="1205"/>
      <c r="D3" s="1205"/>
      <c r="E3" s="1205"/>
      <c r="F3" s="1206"/>
      <c r="H3" s="404"/>
    </row>
    <row r="4" spans="1:14" s="296" customFormat="1">
      <c r="K4" s="686"/>
    </row>
    <row r="5" spans="1:14" s="296" customFormat="1">
      <c r="K5" s="686"/>
    </row>
    <row r="6" spans="1:14" s="484" customFormat="1" ht="25.5">
      <c r="A6" s="485" t="s">
        <v>77</v>
      </c>
      <c r="B6" s="486" t="s">
        <v>491</v>
      </c>
      <c r="C6" s="485" t="s">
        <v>492</v>
      </c>
      <c r="D6" s="485" t="s">
        <v>493</v>
      </c>
      <c r="E6" s="486" t="s">
        <v>417</v>
      </c>
      <c r="F6" s="486" t="s">
        <v>494</v>
      </c>
      <c r="G6" s="487" t="s">
        <v>495</v>
      </c>
      <c r="H6" s="487" t="s">
        <v>496</v>
      </c>
      <c r="I6" s="486" t="s">
        <v>79</v>
      </c>
      <c r="K6" s="687" t="s">
        <v>497</v>
      </c>
      <c r="L6" s="490">
        <v>12584.319999999998</v>
      </c>
      <c r="M6" s="484">
        <v>8717.2199999999993</v>
      </c>
      <c r="N6" s="484">
        <v>5111.25</v>
      </c>
    </row>
    <row r="7" spans="1:14" s="484" customFormat="1" ht="36.75" hidden="1" customHeight="1">
      <c r="B7" s="533">
        <v>0</v>
      </c>
      <c r="C7" s="533"/>
      <c r="D7" s="533"/>
      <c r="E7" s="534"/>
      <c r="F7" s="533"/>
      <c r="G7" s="533">
        <f>SUM(E7:F7)</f>
        <v>0</v>
      </c>
      <c r="H7" s="533">
        <f>G7</f>
        <v>0</v>
      </c>
      <c r="I7" s="535"/>
      <c r="K7" s="687"/>
    </row>
    <row r="8" spans="1:14" s="484" customFormat="1" ht="26.25" customHeight="1">
      <c r="A8" s="536" t="s">
        <v>498</v>
      </c>
      <c r="B8" s="537">
        <v>0</v>
      </c>
      <c r="C8" s="537">
        <v>-7044.8</v>
      </c>
      <c r="D8" s="537">
        <v>0</v>
      </c>
      <c r="E8" s="537">
        <v>0</v>
      </c>
      <c r="F8" s="688">
        <f t="shared" ref="F8:F20" si="0">D8-E8</f>
        <v>0</v>
      </c>
      <c r="G8" s="537">
        <f>E8+F8</f>
        <v>0</v>
      </c>
      <c r="H8" s="537">
        <f>-G8+5539.52</f>
        <v>5539.52</v>
      </c>
      <c r="I8" s="538" t="s">
        <v>499</v>
      </c>
      <c r="K8" s="687" t="s">
        <v>500</v>
      </c>
      <c r="L8" s="484">
        <v>8717.2199999999993</v>
      </c>
      <c r="M8" s="490">
        <v>3605.97</v>
      </c>
      <c r="N8" s="490">
        <v>-5539.52</v>
      </c>
    </row>
    <row r="9" spans="1:14" s="484" customFormat="1" ht="24.75" customHeight="1">
      <c r="A9" s="536" t="s">
        <v>501</v>
      </c>
      <c r="B9" s="537">
        <v>0</v>
      </c>
      <c r="C9" s="537">
        <v>0</v>
      </c>
      <c r="D9" s="537">
        <f>B9+C9</f>
        <v>0</v>
      </c>
      <c r="E9" s="537">
        <v>0</v>
      </c>
      <c r="F9" s="688">
        <f t="shared" si="0"/>
        <v>0</v>
      </c>
      <c r="G9" s="537">
        <f>E9+F9</f>
        <v>0</v>
      </c>
      <c r="H9" s="537">
        <v>0</v>
      </c>
      <c r="I9" s="538"/>
      <c r="K9" s="687" t="s">
        <v>502</v>
      </c>
      <c r="L9" s="490">
        <f>+L8-L6</f>
        <v>-3867.0999999999985</v>
      </c>
      <c r="M9" s="490">
        <f>+M6+M8</f>
        <v>12323.189999999999</v>
      </c>
      <c r="N9" s="490">
        <f>+N6+N8</f>
        <v>-428.27000000000044</v>
      </c>
    </row>
    <row r="10" spans="1:14" s="484" customFormat="1" ht="21" customHeight="1">
      <c r="A10" s="694" t="s">
        <v>503</v>
      </c>
      <c r="B10" s="537">
        <v>45204.79</v>
      </c>
      <c r="C10" s="537">
        <v>-11000</v>
      </c>
      <c r="D10" s="537">
        <f>B10+C10</f>
        <v>34204.79</v>
      </c>
      <c r="E10" s="537">
        <v>154866.78</v>
      </c>
      <c r="F10" s="688">
        <f t="shared" si="0"/>
        <v>-120661.98999999999</v>
      </c>
      <c r="G10" s="537">
        <f>E10+F10</f>
        <v>34204.790000000008</v>
      </c>
      <c r="H10" s="537">
        <f>-G10+100013.47+64010.01</f>
        <v>129818.69</v>
      </c>
      <c r="I10" s="538" t="s">
        <v>504</v>
      </c>
      <c r="K10" s="687" t="s">
        <v>505</v>
      </c>
      <c r="L10" s="484">
        <v>3605.97</v>
      </c>
    </row>
    <row r="11" spans="1:14" s="484" customFormat="1" ht="21" customHeight="1">
      <c r="A11" s="536" t="s">
        <v>506</v>
      </c>
      <c r="B11" s="537"/>
      <c r="C11" s="537">
        <v>-1585.93</v>
      </c>
      <c r="D11" s="537">
        <v>0</v>
      </c>
      <c r="E11" s="537">
        <v>0</v>
      </c>
      <c r="F11" s="688">
        <f t="shared" si="0"/>
        <v>0</v>
      </c>
      <c r="G11" s="537">
        <f>E11+F11</f>
        <v>0</v>
      </c>
      <c r="H11" s="537">
        <f>-G11</f>
        <v>0</v>
      </c>
      <c r="I11" s="538"/>
      <c r="K11" s="687" t="s">
        <v>507</v>
      </c>
      <c r="L11" s="490">
        <f>+L9+L10</f>
        <v>-261.12999999999874</v>
      </c>
    </row>
    <row r="12" spans="1:14" s="484" customFormat="1" ht="21" customHeight="1">
      <c r="A12" s="536" t="s">
        <v>508</v>
      </c>
      <c r="B12" s="537">
        <f>19598.69+2737.56+2145.33+2145.33</f>
        <v>26626.910000000003</v>
      </c>
      <c r="C12" s="537">
        <v>-2123.64</v>
      </c>
      <c r="D12" s="537">
        <f>B12+C12</f>
        <v>24503.270000000004</v>
      </c>
      <c r="E12" s="537">
        <v>24503.27</v>
      </c>
      <c r="F12" s="688">
        <f t="shared" si="0"/>
        <v>0</v>
      </c>
      <c r="G12" s="537">
        <f>E12+F12</f>
        <v>24503.27</v>
      </c>
      <c r="H12" s="537">
        <f>-G12+9910.1</f>
        <v>-14593.17</v>
      </c>
      <c r="I12" s="538" t="s">
        <v>509</v>
      </c>
      <c r="K12" s="687"/>
    </row>
    <row r="13" spans="1:14" s="484" customFormat="1" ht="21" customHeight="1">
      <c r="A13" s="694" t="s">
        <v>510</v>
      </c>
      <c r="B13" s="537"/>
      <c r="C13" s="537">
        <v>-20937.349999999999</v>
      </c>
      <c r="D13" s="537">
        <f>B13+C13</f>
        <v>-20937.349999999999</v>
      </c>
      <c r="E13" s="537">
        <v>-17219.18</v>
      </c>
      <c r="F13" s="688">
        <f t="shared" si="0"/>
        <v>-3718.1699999999983</v>
      </c>
      <c r="G13" s="537">
        <f t="shared" ref="G13:G26" si="1">E13+F13</f>
        <v>-20937.349999999999</v>
      </c>
      <c r="H13" s="537">
        <f>-G13+83766.22-83766.22</f>
        <v>20937.350000000006</v>
      </c>
      <c r="I13" s="538" t="s">
        <v>511</v>
      </c>
      <c r="K13" s="687"/>
    </row>
    <row r="14" spans="1:14" s="484" customFormat="1" ht="21" customHeight="1">
      <c r="A14" s="694" t="s">
        <v>512</v>
      </c>
      <c r="B14" s="537">
        <f>10097.75+6997.72</f>
        <v>17095.47</v>
      </c>
      <c r="C14" s="537">
        <v>-30857.87</v>
      </c>
      <c r="D14" s="693">
        <v>0</v>
      </c>
      <c r="E14" s="537">
        <v>32375.84</v>
      </c>
      <c r="F14" s="688">
        <f t="shared" si="0"/>
        <v>-32375.84</v>
      </c>
      <c r="G14" s="537">
        <f t="shared" ref="G14:G20" si="2">E14+F14</f>
        <v>0</v>
      </c>
      <c r="H14" s="537">
        <f>-G14+49193.79</f>
        <v>49193.79</v>
      </c>
      <c r="I14" s="538" t="s">
        <v>513</v>
      </c>
      <c r="K14" s="687" t="s">
        <v>497</v>
      </c>
      <c r="L14" s="490">
        <v>49468.93</v>
      </c>
    </row>
    <row r="15" spans="1:14" s="484" customFormat="1" ht="21" customHeight="1">
      <c r="A15" s="536" t="s">
        <v>514</v>
      </c>
      <c r="B15" s="537">
        <f>40460.31+8.26</f>
        <v>40468.57</v>
      </c>
      <c r="C15" s="537">
        <v>-7184.49</v>
      </c>
      <c r="D15" s="537">
        <f>B15+C15</f>
        <v>33284.080000000002</v>
      </c>
      <c r="E15" s="537">
        <v>33284.080000000002</v>
      </c>
      <c r="F15" s="688">
        <f t="shared" si="0"/>
        <v>0</v>
      </c>
      <c r="G15" s="537">
        <f t="shared" si="2"/>
        <v>33284.080000000002</v>
      </c>
      <c r="H15" s="537">
        <f>-G15+18769.72</f>
        <v>-14514.36</v>
      </c>
      <c r="I15" s="538" t="s">
        <v>515</v>
      </c>
      <c r="K15" s="687" t="s">
        <v>500</v>
      </c>
      <c r="L15" s="484">
        <v>42668.31</v>
      </c>
    </row>
    <row r="16" spans="1:14" s="484" customFormat="1" ht="21" customHeight="1">
      <c r="A16" s="536" t="s">
        <v>516</v>
      </c>
      <c r="B16" s="537">
        <v>0</v>
      </c>
      <c r="C16" s="537"/>
      <c r="D16" s="537">
        <f>B16+C16</f>
        <v>0</v>
      </c>
      <c r="E16" s="537">
        <v>0</v>
      </c>
      <c r="F16" s="688">
        <f t="shared" si="0"/>
        <v>0</v>
      </c>
      <c r="G16" s="537">
        <f t="shared" si="2"/>
        <v>0</v>
      </c>
      <c r="H16" s="537">
        <f>-G16+24425.06</f>
        <v>24425.06</v>
      </c>
      <c r="I16" s="538" t="s">
        <v>517</v>
      </c>
      <c r="K16" s="687" t="s">
        <v>502</v>
      </c>
      <c r="L16" s="490">
        <f>+L15-L14</f>
        <v>-6800.6200000000026</v>
      </c>
    </row>
    <row r="17" spans="1:12" s="484" customFormat="1" ht="21" customHeight="1">
      <c r="A17" s="536" t="s">
        <v>477</v>
      </c>
      <c r="B17" s="537">
        <v>0</v>
      </c>
      <c r="C17" s="537">
        <v>-12641.5</v>
      </c>
      <c r="D17" s="693">
        <v>0</v>
      </c>
      <c r="E17" s="537">
        <v>22142.42</v>
      </c>
      <c r="F17" s="688">
        <f t="shared" si="0"/>
        <v>-22142.42</v>
      </c>
      <c r="G17" s="537">
        <f t="shared" si="2"/>
        <v>0</v>
      </c>
      <c r="H17" s="537">
        <f>-G17</f>
        <v>0</v>
      </c>
      <c r="I17" s="538"/>
      <c r="K17" s="687" t="s">
        <v>505</v>
      </c>
      <c r="L17" s="484">
        <v>20401.86</v>
      </c>
    </row>
    <row r="18" spans="1:12" s="484" customFormat="1" ht="21" customHeight="1">
      <c r="A18" s="694" t="s">
        <v>518</v>
      </c>
      <c r="B18" s="537">
        <v>0</v>
      </c>
      <c r="C18" s="537">
        <v>0</v>
      </c>
      <c r="D18" s="537">
        <f>B18+C18</f>
        <v>0</v>
      </c>
      <c r="E18" s="537">
        <v>46527</v>
      </c>
      <c r="F18" s="688">
        <f t="shared" si="0"/>
        <v>-46527</v>
      </c>
      <c r="G18" s="537">
        <f t="shared" si="2"/>
        <v>0</v>
      </c>
      <c r="H18" s="537">
        <f>-G18+46870.01+2598.92+47967.84</f>
        <v>97436.76999999999</v>
      </c>
      <c r="I18" s="538" t="s">
        <v>519</v>
      </c>
      <c r="K18" s="687" t="s">
        <v>507</v>
      </c>
      <c r="L18" s="490">
        <f>+L16+L17</f>
        <v>13601.239999999998</v>
      </c>
    </row>
    <row r="19" spans="1:12" s="484" customFormat="1" ht="21" customHeight="1">
      <c r="A19" s="536" t="s">
        <v>520</v>
      </c>
      <c r="B19" s="537">
        <f>4593.84+49269.94+4605.74</f>
        <v>58469.52</v>
      </c>
      <c r="C19" s="537">
        <v>0</v>
      </c>
      <c r="D19" s="537">
        <f>B19+C19</f>
        <v>58469.52</v>
      </c>
      <c r="E19" s="537">
        <v>58469.52</v>
      </c>
      <c r="F19" s="688">
        <f t="shared" si="0"/>
        <v>0</v>
      </c>
      <c r="G19" s="537">
        <f t="shared" si="2"/>
        <v>58469.52</v>
      </c>
      <c r="H19" s="537">
        <f>-G19+39309.92</f>
        <v>-19159.599999999999</v>
      </c>
      <c r="I19" s="538" t="s">
        <v>521</v>
      </c>
      <c r="K19" s="687"/>
      <c r="L19" s="490"/>
    </row>
    <row r="20" spans="1:12" s="484" customFormat="1" ht="21" customHeight="1">
      <c r="A20" s="536" t="s">
        <v>522</v>
      </c>
      <c r="B20" s="537">
        <v>33597.360000000001</v>
      </c>
      <c r="C20" s="537">
        <v>-2116.11</v>
      </c>
      <c r="D20" s="537">
        <f>B20+C20</f>
        <v>31481.25</v>
      </c>
      <c r="E20" s="537">
        <v>31713.040000000001</v>
      </c>
      <c r="F20" s="688">
        <f t="shared" si="0"/>
        <v>-231.79000000000087</v>
      </c>
      <c r="G20" s="537">
        <f t="shared" si="2"/>
        <v>31481.25</v>
      </c>
      <c r="H20" s="537">
        <f>-G20+18708.57</f>
        <v>-12772.68</v>
      </c>
      <c r="I20" s="538" t="s">
        <v>523</v>
      </c>
    </row>
    <row r="21" spans="1:12" s="484" customFormat="1" ht="21" hidden="1" customHeight="1">
      <c r="A21" s="536"/>
      <c r="B21" s="537"/>
      <c r="C21" s="537"/>
      <c r="D21" s="537">
        <f t="shared" ref="D21:D26" si="3">B21+C21</f>
        <v>0</v>
      </c>
      <c r="E21" s="537">
        <v>0</v>
      </c>
      <c r="F21" s="537">
        <f t="shared" ref="F21:F26" si="4">D21-E21</f>
        <v>0</v>
      </c>
      <c r="G21" s="537">
        <f t="shared" si="1"/>
        <v>0</v>
      </c>
      <c r="H21" s="537">
        <f t="shared" ref="H21:H26" si="5">-G21</f>
        <v>0</v>
      </c>
      <c r="I21" s="538"/>
    </row>
    <row r="22" spans="1:12" s="484" customFormat="1" ht="21" hidden="1" customHeight="1">
      <c r="A22" s="536"/>
      <c r="B22" s="537"/>
      <c r="C22" s="537"/>
      <c r="D22" s="537">
        <f t="shared" si="3"/>
        <v>0</v>
      </c>
      <c r="E22" s="537"/>
      <c r="F22" s="537">
        <f t="shared" si="4"/>
        <v>0</v>
      </c>
      <c r="G22" s="537">
        <f t="shared" si="1"/>
        <v>0</v>
      </c>
      <c r="H22" s="537">
        <f t="shared" si="5"/>
        <v>0</v>
      </c>
      <c r="I22" s="538"/>
    </row>
    <row r="23" spans="1:12" s="484" customFormat="1" ht="21" hidden="1" customHeight="1">
      <c r="A23" s="536"/>
      <c r="B23" s="537"/>
      <c r="C23" s="537"/>
      <c r="D23" s="537">
        <f t="shared" si="3"/>
        <v>0</v>
      </c>
      <c r="E23" s="537"/>
      <c r="F23" s="537">
        <f t="shared" si="4"/>
        <v>0</v>
      </c>
      <c r="G23" s="537">
        <f t="shared" si="1"/>
        <v>0</v>
      </c>
      <c r="H23" s="537">
        <f t="shared" si="5"/>
        <v>0</v>
      </c>
      <c r="I23" s="538"/>
    </row>
    <row r="24" spans="1:12" s="484" customFormat="1" ht="21" hidden="1" customHeight="1">
      <c r="A24" s="536"/>
      <c r="B24" s="537"/>
      <c r="C24" s="537"/>
      <c r="D24" s="537">
        <f t="shared" si="3"/>
        <v>0</v>
      </c>
      <c r="E24" s="537"/>
      <c r="F24" s="537">
        <f t="shared" si="4"/>
        <v>0</v>
      </c>
      <c r="G24" s="537">
        <f t="shared" si="1"/>
        <v>0</v>
      </c>
      <c r="H24" s="537">
        <f t="shared" si="5"/>
        <v>0</v>
      </c>
      <c r="I24" s="538"/>
    </row>
    <row r="25" spans="1:12" s="484" customFormat="1" ht="21" hidden="1" customHeight="1">
      <c r="A25" s="536"/>
      <c r="B25" s="537"/>
      <c r="C25" s="537"/>
      <c r="D25" s="537">
        <f t="shared" si="3"/>
        <v>0</v>
      </c>
      <c r="E25" s="537"/>
      <c r="F25" s="537">
        <f t="shared" si="4"/>
        <v>0</v>
      </c>
      <c r="G25" s="537">
        <f t="shared" si="1"/>
        <v>0</v>
      </c>
      <c r="H25" s="537">
        <f t="shared" si="5"/>
        <v>0</v>
      </c>
      <c r="I25" s="538"/>
    </row>
    <row r="26" spans="1:12" s="484" customFormat="1" ht="21" hidden="1" customHeight="1">
      <c r="A26" s="536"/>
      <c r="B26" s="537"/>
      <c r="C26" s="537"/>
      <c r="D26" s="537">
        <f t="shared" si="3"/>
        <v>0</v>
      </c>
      <c r="E26" s="537"/>
      <c r="F26" s="537">
        <f t="shared" si="4"/>
        <v>0</v>
      </c>
      <c r="G26" s="537">
        <f t="shared" si="1"/>
        <v>0</v>
      </c>
      <c r="H26" s="537">
        <f t="shared" si="5"/>
        <v>0</v>
      </c>
      <c r="I26" s="538"/>
    </row>
    <row r="27" spans="1:12" s="484" customFormat="1" ht="19.5" customHeight="1">
      <c r="A27" s="539"/>
      <c r="E27" s="540"/>
      <c r="F27" s="533"/>
      <c r="G27" s="533"/>
    </row>
    <row r="28" spans="1:12" s="484" customFormat="1" ht="20.25" customHeight="1" thickBot="1">
      <c r="A28" s="488" t="s">
        <v>85</v>
      </c>
      <c r="B28" s="489">
        <f>SUM(B7:B27)</f>
        <v>221462.62</v>
      </c>
      <c r="C28" s="489"/>
      <c r="D28" s="489">
        <f>SUM(D7:D27)</f>
        <v>161005.56</v>
      </c>
      <c r="E28" s="489">
        <f>SUM(E7:E27)</f>
        <v>386662.76999999996</v>
      </c>
      <c r="F28" s="489">
        <f>SUM(F7:F27)</f>
        <v>-225657.21</v>
      </c>
      <c r="G28" s="689">
        <f>SUM(G7:G27)</f>
        <v>161005.56</v>
      </c>
      <c r="H28" s="689">
        <f>SUM(H7:H27)</f>
        <v>266311.37000000005</v>
      </c>
    </row>
    <row r="29" spans="1:12" s="484" customFormat="1" ht="20.25" customHeight="1" thickTop="1">
      <c r="B29" s="490"/>
      <c r="C29" s="490"/>
      <c r="D29" s="490"/>
      <c r="G29" s="490">
        <f>+G28-D28</f>
        <v>0</v>
      </c>
    </row>
    <row r="30" spans="1:12" s="484" customFormat="1" ht="20.25" customHeight="1">
      <c r="E30" s="410"/>
      <c r="F30" s="490"/>
      <c r="G30" s="490"/>
    </row>
    <row r="31" spans="1:12" s="484" customFormat="1" ht="20.25" customHeight="1">
      <c r="B31" s="490"/>
      <c r="C31" s="490"/>
      <c r="D31" s="490"/>
      <c r="G31" s="490"/>
    </row>
    <row r="32" spans="1:12" s="484" customFormat="1" ht="18.75" customHeight="1">
      <c r="J32" s="484">
        <v>19626.810000000001</v>
      </c>
    </row>
    <row r="33" spans="3:13">
      <c r="C33" s="296"/>
      <c r="J33">
        <v>8669.57</v>
      </c>
    </row>
    <row r="34" spans="3:13">
      <c r="C34" s="296"/>
      <c r="J34">
        <v>42669.89</v>
      </c>
    </row>
    <row r="35" spans="3:13">
      <c r="C35" s="296"/>
      <c r="J35">
        <f>SUM(J32:J34)</f>
        <v>70966.27</v>
      </c>
    </row>
    <row r="36" spans="3:13">
      <c r="C36" s="296"/>
      <c r="J36">
        <f>J35/6</f>
        <v>11827.711666666668</v>
      </c>
      <c r="L36">
        <f>J36*2</f>
        <v>23655.423333333336</v>
      </c>
      <c r="M36">
        <f>J35-L36</f>
        <v>47310.846666666665</v>
      </c>
    </row>
    <row r="37" spans="3:13">
      <c r="C37" s="296"/>
    </row>
    <row r="38" spans="3:13">
      <c r="C38" s="296"/>
    </row>
  </sheetData>
  <mergeCells count="3">
    <mergeCell ref="A1:F1"/>
    <mergeCell ref="A2:F2"/>
    <mergeCell ref="A3:F3"/>
  </mergeCells>
  <phoneticPr fontId="73" type="noConversion"/>
  <pageMargins left="0.7" right="0.7" top="0.75" bottom="0.75" header="0.3" footer="0.3"/>
  <pageSetup scale="64" orientation="landscape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39">
    <pageSetUpPr autoPageBreaks="0" fitToPage="1"/>
  </sheetPr>
  <dimension ref="A1:K29"/>
  <sheetViews>
    <sheetView workbookViewId="0">
      <selection activeCell="F23" sqref="F23"/>
    </sheetView>
  </sheetViews>
  <sheetFormatPr defaultColWidth="9.42578125" defaultRowHeight="12.75"/>
  <cols>
    <col min="1" max="1" width="12.5703125" style="402" customWidth="1"/>
    <col min="2" max="2" width="2.5703125" style="402" customWidth="1"/>
    <col min="3" max="3" width="41" style="402" customWidth="1"/>
    <col min="4" max="4" width="2.5703125" style="402" customWidth="1"/>
    <col min="5" max="5" width="16.5703125" style="402" customWidth="1"/>
    <col min="6" max="6" width="30.42578125" style="402" customWidth="1"/>
    <col min="7" max="16384" width="9.42578125" style="402"/>
  </cols>
  <sheetData>
    <row r="1" spans="1:11" s="379" customFormat="1" ht="18">
      <c r="A1" s="1179" t="str">
        <f>'Review Comments'!B9</f>
        <v>COCONUT GROVE RETAIL XIII, LLC</v>
      </c>
      <c r="B1" s="1180"/>
      <c r="C1" s="1180"/>
      <c r="D1" s="1180"/>
      <c r="E1" s="1180"/>
      <c r="F1" s="1181"/>
    </row>
    <row r="2" spans="1:11" s="379" customFormat="1" ht="18">
      <c r="A2" s="1182" t="s">
        <v>524</v>
      </c>
      <c r="B2" s="1183"/>
      <c r="C2" s="1183"/>
      <c r="D2" s="1183"/>
      <c r="E2" s="1183"/>
      <c r="F2" s="1184"/>
    </row>
    <row r="3" spans="1:11" s="379" customFormat="1" ht="18.75" thickBot="1">
      <c r="A3" s="1185" t="str">
        <f>'Review Comments'!B11</f>
        <v>FOR THE MONTH 07/31/2026</v>
      </c>
      <c r="B3" s="1186"/>
      <c r="C3" s="1186"/>
      <c r="D3" s="1186"/>
      <c r="E3" s="1186"/>
      <c r="F3" s="1187"/>
    </row>
    <row r="4" spans="1:11" s="379" customFormat="1"/>
    <row r="5" spans="1:11" s="379" customFormat="1"/>
    <row r="6" spans="1:11" s="379" customFormat="1"/>
    <row r="7" spans="1:11" s="379" customFormat="1" ht="13.5" thickBot="1"/>
    <row r="8" spans="1:11" s="379" customFormat="1">
      <c r="A8" s="380"/>
      <c r="B8" s="381"/>
      <c r="C8" s="381"/>
      <c r="D8" s="381"/>
      <c r="E8" s="381"/>
      <c r="F8" s="382"/>
    </row>
    <row r="9" spans="1:11" s="379" customFormat="1" ht="26.25" thickBot="1">
      <c r="A9" s="383" t="s">
        <v>303</v>
      </c>
      <c r="B9" s="384"/>
      <c r="C9" s="384" t="s">
        <v>10</v>
      </c>
      <c r="D9" s="384"/>
      <c r="E9" s="384" t="s">
        <v>11</v>
      </c>
      <c r="F9" s="385" t="s">
        <v>105</v>
      </c>
      <c r="G9" s="386"/>
      <c r="H9" s="386"/>
      <c r="I9" s="386"/>
      <c r="J9" s="386"/>
      <c r="K9" s="386"/>
    </row>
    <row r="10" spans="1:11" s="379" customFormat="1">
      <c r="A10" s="387"/>
      <c r="F10" s="388"/>
    </row>
    <row r="11" spans="1:11" s="379" customFormat="1">
      <c r="A11" s="428">
        <v>42719</v>
      </c>
      <c r="B11" s="390"/>
      <c r="C11" s="429" t="s">
        <v>525</v>
      </c>
      <c r="D11" s="390"/>
      <c r="E11" s="395"/>
      <c r="F11" s="551">
        <f>+E11</f>
        <v>0</v>
      </c>
    </row>
    <row r="12" spans="1:11" s="379" customFormat="1">
      <c r="A12" s="428"/>
      <c r="B12" s="390"/>
      <c r="C12" s="429"/>
      <c r="D12" s="390"/>
      <c r="E12" s="392"/>
      <c r="F12" s="393"/>
    </row>
    <row r="13" spans="1:11" s="379" customFormat="1">
      <c r="A13" s="428"/>
      <c r="B13" s="390"/>
      <c r="C13" s="429"/>
      <c r="D13" s="390"/>
      <c r="E13" s="392"/>
      <c r="F13" s="393"/>
    </row>
    <row r="14" spans="1:11" s="379" customFormat="1">
      <c r="A14" s="394"/>
      <c r="B14" s="390"/>
      <c r="C14" s="390"/>
      <c r="D14" s="390"/>
      <c r="E14" s="395"/>
      <c r="F14" s="393"/>
    </row>
    <row r="15" spans="1:11" s="400" customFormat="1" ht="13.5" thickBot="1">
      <c r="A15" s="396"/>
      <c r="B15" s="397"/>
      <c r="C15" s="397" t="s">
        <v>306</v>
      </c>
      <c r="D15" s="397"/>
      <c r="E15" s="398"/>
      <c r="F15" s="399">
        <f>SUM(F11:F14)</f>
        <v>0</v>
      </c>
    </row>
    <row r="16" spans="1:11" s="379" customFormat="1">
      <c r="A16" s="390"/>
      <c r="B16" s="390"/>
      <c r="C16" s="390"/>
      <c r="D16" s="390"/>
      <c r="E16" s="395"/>
      <c r="F16" s="390"/>
    </row>
    <row r="17" spans="2:6" s="379" customFormat="1">
      <c r="B17" s="401"/>
      <c r="C17" s="391"/>
    </row>
    <row r="18" spans="2:6" s="379" customFormat="1">
      <c r="C18" s="391"/>
    </row>
    <row r="19" spans="2:6" s="379" customFormat="1"/>
    <row r="20" spans="2:6">
      <c r="B20" s="403"/>
      <c r="C20" s="379"/>
      <c r="F20" s="402" t="s">
        <v>22</v>
      </c>
    </row>
    <row r="21" spans="2:6">
      <c r="C21" s="379"/>
    </row>
    <row r="22" spans="2:6">
      <c r="C22" s="379"/>
    </row>
    <row r="23" spans="2:6">
      <c r="C23" s="379"/>
    </row>
    <row r="24" spans="2:6">
      <c r="C24" s="379"/>
    </row>
    <row r="25" spans="2:6">
      <c r="C25" s="379"/>
    </row>
    <row r="26" spans="2:6">
      <c r="C26" s="379"/>
    </row>
    <row r="27" spans="2:6">
      <c r="C27" s="379"/>
    </row>
    <row r="28" spans="2:6">
      <c r="C28" s="379"/>
    </row>
    <row r="29" spans="2:6">
      <c r="C29" s="379"/>
    </row>
  </sheetData>
  <mergeCells count="3">
    <mergeCell ref="A1:F1"/>
    <mergeCell ref="A2:F2"/>
    <mergeCell ref="A3:F3"/>
  </mergeCells>
  <printOptions horizontalCentered="1"/>
  <pageMargins left="0.75" right="0.75" top="1" bottom="1" header="0.5" footer="0.5"/>
  <pageSetup scale="68" orientation="portrait"/>
  <headerFooter alignWithMargins="0">
    <oddFooter>&amp;R&amp;F
&amp;D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5"/>
  <dimension ref="A1:N43"/>
  <sheetViews>
    <sheetView zoomScale="86" zoomScaleNormal="86" workbookViewId="0">
      <pane ySplit="6" topLeftCell="A7" activePane="bottomLeft" state="frozen"/>
      <selection pane="bottomLeft" sqref="A1:F1"/>
    </sheetView>
  </sheetViews>
  <sheetFormatPr defaultRowHeight="12.75"/>
  <cols>
    <col min="1" max="1" width="32.42578125" customWidth="1"/>
    <col min="2" max="2" width="20.42578125" customWidth="1"/>
    <col min="3" max="3" width="22.42578125" customWidth="1"/>
    <col min="4" max="4" width="20.5703125" customWidth="1"/>
    <col min="5" max="6" width="16.5703125" customWidth="1"/>
    <col min="7" max="8" width="16.42578125" customWidth="1"/>
    <col min="9" max="9" width="42.42578125" customWidth="1"/>
    <col min="10" max="10" width="11.42578125" bestFit="1" customWidth="1"/>
    <col min="12" max="12" width="14.42578125" customWidth="1"/>
    <col min="13" max="13" width="13.42578125" customWidth="1"/>
    <col min="14" max="14" width="14.5703125" customWidth="1"/>
  </cols>
  <sheetData>
    <row r="1" spans="1:14" s="296" customFormat="1" ht="18">
      <c r="A1" s="1179" t="str">
        <f>'Review Comments'!B9</f>
        <v>COCONUT GROVE RETAIL XIII, LLC</v>
      </c>
      <c r="B1" s="1180"/>
      <c r="C1" s="1180"/>
      <c r="D1" s="1180"/>
      <c r="E1" s="1180"/>
      <c r="F1" s="1181"/>
    </row>
    <row r="2" spans="1:14" s="296" customFormat="1" ht="18">
      <c r="A2" s="1201" t="s">
        <v>490</v>
      </c>
      <c r="B2" s="1202"/>
      <c r="C2" s="1202"/>
      <c r="D2" s="1202"/>
      <c r="E2" s="1202"/>
      <c r="F2" s="1203"/>
    </row>
    <row r="3" spans="1:14" s="296" customFormat="1" ht="18.75" thickBot="1">
      <c r="A3" s="1204" t="str">
        <f>'Review Comments'!B11</f>
        <v>FOR THE MONTH 07/31/2026</v>
      </c>
      <c r="B3" s="1205"/>
      <c r="C3" s="1205"/>
      <c r="D3" s="1205"/>
      <c r="E3" s="1205"/>
      <c r="F3" s="1206"/>
      <c r="H3" s="404"/>
    </row>
    <row r="4" spans="1:14" s="296" customFormat="1">
      <c r="H4" s="455"/>
      <c r="K4" s="686"/>
    </row>
    <row r="5" spans="1:14" s="296" customFormat="1">
      <c r="K5" s="686"/>
    </row>
    <row r="6" spans="1:14" s="539" customFormat="1">
      <c r="A6" s="796" t="s">
        <v>77</v>
      </c>
      <c r="B6" s="797" t="s">
        <v>491</v>
      </c>
      <c r="C6" s="796" t="s">
        <v>492</v>
      </c>
      <c r="D6" s="796" t="s">
        <v>493</v>
      </c>
      <c r="E6" s="797" t="s">
        <v>417</v>
      </c>
      <c r="F6" s="797" t="s">
        <v>494</v>
      </c>
      <c r="G6" s="798" t="s">
        <v>495</v>
      </c>
      <c r="H6" s="798" t="s">
        <v>1299</v>
      </c>
      <c r="I6" s="797" t="s">
        <v>79</v>
      </c>
      <c r="K6" s="799" t="s">
        <v>497</v>
      </c>
      <c r="L6" s="800">
        <v>12584.319999999998</v>
      </c>
      <c r="M6" s="539">
        <v>8717.2199999999993</v>
      </c>
      <c r="N6" s="539">
        <v>5111.25</v>
      </c>
    </row>
    <row r="7" spans="1:14" s="539" customFormat="1">
      <c r="A7" s="935"/>
      <c r="B7" s="936"/>
      <c r="C7" s="935"/>
      <c r="D7" s="935"/>
      <c r="E7" s="936"/>
      <c r="F7" s="936"/>
      <c r="G7" s="937" t="s">
        <v>1054</v>
      </c>
      <c r="H7" s="937" t="s">
        <v>1078</v>
      </c>
      <c r="I7" s="936"/>
      <c r="K7" s="799"/>
      <c r="L7" s="800"/>
    </row>
    <row r="8" spans="1:14" s="484" customFormat="1" ht="36.75" customHeight="1">
      <c r="B8" s="533">
        <v>0</v>
      </c>
      <c r="C8" s="533"/>
      <c r="D8" s="533"/>
      <c r="E8" s="534">
        <v>0</v>
      </c>
      <c r="F8" s="533"/>
      <c r="G8" s="533">
        <f>SUM(E8:F8)</f>
        <v>0</v>
      </c>
      <c r="H8" s="533"/>
      <c r="I8" s="535"/>
      <c r="K8" s="687"/>
    </row>
    <row r="9" spans="1:14" s="484" customFormat="1" ht="36.75" customHeight="1">
      <c r="A9" s="536" t="s">
        <v>526</v>
      </c>
      <c r="B9" s="1050">
        <v>4288.87</v>
      </c>
      <c r="C9" s="1050">
        <v>-4713.8</v>
      </c>
      <c r="D9" s="842">
        <f>IF((B9+C9)&gt;0,B9+C9,0)</f>
        <v>0</v>
      </c>
      <c r="E9" s="537">
        <v>0</v>
      </c>
      <c r="F9" s="1045">
        <f>D9-E9</f>
        <v>0</v>
      </c>
      <c r="G9" s="537">
        <f>E9+F9</f>
        <v>0</v>
      </c>
      <c r="H9" s="537"/>
      <c r="I9" s="538"/>
      <c r="K9" s="687"/>
    </row>
    <row r="10" spans="1:14" s="484" customFormat="1" ht="26.25" hidden="1" customHeight="1">
      <c r="A10" s="536" t="s">
        <v>527</v>
      </c>
      <c r="B10" s="1051">
        <v>0</v>
      </c>
      <c r="C10" s="1051">
        <v>0</v>
      </c>
      <c r="D10" s="537">
        <f t="shared" ref="D10:D19" si="0">IF((B10+C10)&gt;0,B10+C10,0)</f>
        <v>0</v>
      </c>
      <c r="E10" s="537">
        <v>0</v>
      </c>
      <c r="F10" s="688">
        <f t="shared" ref="F10:F15" si="1">D10-E10</f>
        <v>0</v>
      </c>
      <c r="G10" s="537">
        <f t="shared" ref="G10:G31" si="2">E10+F10</f>
        <v>0</v>
      </c>
      <c r="H10" s="537"/>
      <c r="I10" s="538" t="s">
        <v>528</v>
      </c>
      <c r="K10" s="687" t="s">
        <v>500</v>
      </c>
      <c r="L10" s="484">
        <v>8717.2199999999993</v>
      </c>
      <c r="M10" s="490">
        <v>3605.97</v>
      </c>
      <c r="N10" s="490">
        <v>-5539.52</v>
      </c>
    </row>
    <row r="11" spans="1:14" s="484" customFormat="1" ht="26.1" hidden="1" customHeight="1">
      <c r="A11" s="536" t="s">
        <v>498</v>
      </c>
      <c r="B11" s="1051">
        <v>0</v>
      </c>
      <c r="C11" s="1051">
        <v>0</v>
      </c>
      <c r="D11" s="537">
        <f t="shared" si="0"/>
        <v>0</v>
      </c>
      <c r="E11" s="537">
        <v>0</v>
      </c>
      <c r="F11" s="688">
        <f>D11-E11</f>
        <v>0</v>
      </c>
      <c r="G11" s="537">
        <f t="shared" si="2"/>
        <v>0</v>
      </c>
      <c r="H11" s="537"/>
      <c r="I11" s="538"/>
      <c r="K11" s="687"/>
      <c r="M11" s="490"/>
      <c r="N11" s="490"/>
    </row>
    <row r="12" spans="1:14" s="484" customFormat="1" ht="24.75" hidden="1" customHeight="1">
      <c r="A12" s="536" t="s">
        <v>501</v>
      </c>
      <c r="B12" s="1051">
        <v>0</v>
      </c>
      <c r="C12" s="1051">
        <v>0</v>
      </c>
      <c r="D12" s="537">
        <f t="shared" si="0"/>
        <v>0</v>
      </c>
      <c r="E12" s="537">
        <v>0</v>
      </c>
      <c r="F12" s="688">
        <f t="shared" si="1"/>
        <v>0</v>
      </c>
      <c r="G12" s="537">
        <f t="shared" si="2"/>
        <v>0</v>
      </c>
      <c r="H12" s="537"/>
      <c r="I12" s="538"/>
      <c r="K12" s="687" t="s">
        <v>502</v>
      </c>
      <c r="L12" s="490">
        <f>+L10-L6</f>
        <v>-3867.0999999999985</v>
      </c>
      <c r="M12" s="490">
        <f>+M6+M10</f>
        <v>12323.189999999999</v>
      </c>
      <c r="N12" s="490">
        <f>+N6+N10</f>
        <v>-428.27000000000044</v>
      </c>
    </row>
    <row r="13" spans="1:14" s="484" customFormat="1" ht="27" hidden="1" customHeight="1">
      <c r="A13" s="536" t="s">
        <v>503</v>
      </c>
      <c r="B13" s="1051">
        <v>0</v>
      </c>
      <c r="C13" s="1051">
        <v>0</v>
      </c>
      <c r="D13" s="537">
        <f t="shared" si="0"/>
        <v>0</v>
      </c>
      <c r="E13" s="537">
        <v>0</v>
      </c>
      <c r="F13" s="688">
        <f>D13-E13</f>
        <v>0</v>
      </c>
      <c r="G13" s="537">
        <f t="shared" si="2"/>
        <v>0</v>
      </c>
      <c r="H13" s="537"/>
      <c r="I13" s="538"/>
      <c r="K13" s="687" t="s">
        <v>505</v>
      </c>
      <c r="L13" s="484">
        <v>3605.97</v>
      </c>
    </row>
    <row r="14" spans="1:14" s="484" customFormat="1" ht="21" hidden="1" customHeight="1">
      <c r="A14" s="536" t="s">
        <v>506</v>
      </c>
      <c r="B14" s="1051"/>
      <c r="C14" s="1051">
        <v>0</v>
      </c>
      <c r="D14" s="537">
        <f t="shared" si="0"/>
        <v>0</v>
      </c>
      <c r="E14" s="537">
        <v>0</v>
      </c>
      <c r="F14" s="688">
        <f t="shared" si="1"/>
        <v>0</v>
      </c>
      <c r="G14" s="537">
        <f t="shared" si="2"/>
        <v>0</v>
      </c>
      <c r="H14" s="537"/>
      <c r="I14" s="538"/>
      <c r="K14" s="687" t="s">
        <v>507</v>
      </c>
      <c r="L14" s="490">
        <f>+L12+L13</f>
        <v>-261.12999999999874</v>
      </c>
    </row>
    <row r="15" spans="1:14" s="484" customFormat="1" ht="27" hidden="1" customHeight="1">
      <c r="A15" s="536" t="s">
        <v>508</v>
      </c>
      <c r="B15" s="1052">
        <v>0</v>
      </c>
      <c r="C15" s="1051">
        <v>0</v>
      </c>
      <c r="D15" s="537">
        <f t="shared" si="0"/>
        <v>0</v>
      </c>
      <c r="E15" s="537">
        <v>0</v>
      </c>
      <c r="F15" s="688">
        <f t="shared" si="1"/>
        <v>0</v>
      </c>
      <c r="G15" s="537">
        <f t="shared" si="2"/>
        <v>0</v>
      </c>
      <c r="H15" s="537"/>
      <c r="I15" s="538" t="s">
        <v>529</v>
      </c>
      <c r="K15" s="687"/>
    </row>
    <row r="16" spans="1:14" s="484" customFormat="1" ht="21" hidden="1" customHeight="1">
      <c r="A16" s="536" t="s">
        <v>510</v>
      </c>
      <c r="B16" s="194"/>
      <c r="C16" s="1051">
        <v>0</v>
      </c>
      <c r="D16" s="537">
        <f>IF((B16+C16)&gt;0,B16+C16,0)</f>
        <v>0</v>
      </c>
      <c r="E16" s="537">
        <v>0</v>
      </c>
      <c r="F16" s="697">
        <f>D16-E16</f>
        <v>0</v>
      </c>
      <c r="G16" s="537">
        <f t="shared" si="2"/>
        <v>0</v>
      </c>
      <c r="H16" s="537"/>
      <c r="I16" s="538"/>
      <c r="J16" s="410"/>
      <c r="K16" s="687"/>
    </row>
    <row r="17" spans="1:12" s="484" customFormat="1" hidden="1">
      <c r="A17" s="536" t="s">
        <v>512</v>
      </c>
      <c r="B17" s="194"/>
      <c r="C17" s="1051">
        <v>0</v>
      </c>
      <c r="D17" s="537">
        <f t="shared" si="0"/>
        <v>0</v>
      </c>
      <c r="E17" s="537">
        <v>0</v>
      </c>
      <c r="F17" s="688">
        <v>0</v>
      </c>
      <c r="G17" s="537">
        <f t="shared" si="2"/>
        <v>0</v>
      </c>
      <c r="H17" s="537"/>
      <c r="I17" s="538"/>
      <c r="K17" s="687" t="s">
        <v>497</v>
      </c>
      <c r="L17" s="490">
        <v>49468.93</v>
      </c>
    </row>
    <row r="18" spans="1:12" s="484" customFormat="1" hidden="1">
      <c r="A18" s="536" t="s">
        <v>514</v>
      </c>
      <c r="B18" s="1052">
        <v>0</v>
      </c>
      <c r="C18" s="1051">
        <v>0</v>
      </c>
      <c r="D18" s="537">
        <f t="shared" si="0"/>
        <v>0</v>
      </c>
      <c r="E18" s="537">
        <v>0</v>
      </c>
      <c r="F18" s="688">
        <f>D18-E18</f>
        <v>0</v>
      </c>
      <c r="G18" s="537">
        <f t="shared" si="2"/>
        <v>0</v>
      </c>
      <c r="H18" s="537"/>
      <c r="I18" s="538"/>
      <c r="K18" s="687" t="s">
        <v>500</v>
      </c>
      <c r="L18" s="484">
        <v>42668.31</v>
      </c>
    </row>
    <row r="19" spans="1:12" s="484" customFormat="1" hidden="1">
      <c r="A19" s="536" t="s">
        <v>516</v>
      </c>
      <c r="B19" s="1052">
        <v>0</v>
      </c>
      <c r="C19" s="1051">
        <v>0</v>
      </c>
      <c r="D19" s="537">
        <f t="shared" si="0"/>
        <v>0</v>
      </c>
      <c r="E19" s="537">
        <v>0</v>
      </c>
      <c r="F19" s="688">
        <f>D19-E19</f>
        <v>0</v>
      </c>
      <c r="G19" s="537">
        <f t="shared" si="2"/>
        <v>0</v>
      </c>
      <c r="H19" s="537"/>
      <c r="I19" s="538"/>
      <c r="K19" s="687" t="s">
        <v>502</v>
      </c>
      <c r="L19" s="490">
        <f>+L18-L17</f>
        <v>-6800.6200000000026</v>
      </c>
    </row>
    <row r="20" spans="1:12" s="484" customFormat="1" ht="33.75" customHeight="1">
      <c r="A20" s="536" t="s">
        <v>477</v>
      </c>
      <c r="B20" s="1050">
        <v>15113.98</v>
      </c>
      <c r="C20" s="1050">
        <v>-12641.5</v>
      </c>
      <c r="D20" s="842">
        <f>IF((B20+C20)&gt;0,B20+C20,0)</f>
        <v>2472.4799999999996</v>
      </c>
      <c r="E20" s="842">
        <v>5569.7799999999988</v>
      </c>
      <c r="F20" s="1045">
        <f>D20-E20</f>
        <v>-3097.2999999999993</v>
      </c>
      <c r="G20" s="537">
        <f t="shared" si="2"/>
        <v>2472.4799999999996</v>
      </c>
      <c r="H20" s="842"/>
      <c r="I20" s="538"/>
      <c r="K20" s="687" t="s">
        <v>505</v>
      </c>
      <c r="L20" s="410">
        <v>20401.86</v>
      </c>
    </row>
    <row r="21" spans="1:12" s="484" customFormat="1" ht="21" customHeight="1">
      <c r="A21" s="536" t="s">
        <v>518</v>
      </c>
      <c r="B21" s="1050">
        <v>0</v>
      </c>
      <c r="C21" s="1051">
        <v>0</v>
      </c>
      <c r="D21" s="842">
        <f>IF((B21+C21)&gt;0,B21+C21,0)</f>
        <v>0</v>
      </c>
      <c r="E21" s="842">
        <v>1930.38</v>
      </c>
      <c r="F21" s="1045">
        <f>D21-E21</f>
        <v>-1930.38</v>
      </c>
      <c r="G21" s="537">
        <f t="shared" si="2"/>
        <v>0</v>
      </c>
      <c r="H21" s="842"/>
      <c r="I21" s="538"/>
      <c r="K21" s="687" t="s">
        <v>507</v>
      </c>
      <c r="L21" s="410">
        <f>+L19+L20</f>
        <v>13601.239999999998</v>
      </c>
    </row>
    <row r="22" spans="1:12" s="484" customFormat="1" ht="21" customHeight="1">
      <c r="A22" s="536" t="s">
        <v>520</v>
      </c>
      <c r="B22" s="1050">
        <v>4613.6000000000004</v>
      </c>
      <c r="C22" s="1051">
        <v>0</v>
      </c>
      <c r="D22" s="842">
        <f>IF((B22+C22)&gt;0,B22+C22,0)</f>
        <v>4613.6000000000004</v>
      </c>
      <c r="E22" s="842">
        <v>4813.6000000000004</v>
      </c>
      <c r="F22" s="1045">
        <f>D22-E22</f>
        <v>-200</v>
      </c>
      <c r="G22" s="537">
        <f t="shared" si="2"/>
        <v>4613.6000000000004</v>
      </c>
      <c r="H22" s="842"/>
      <c r="I22" s="538"/>
      <c r="K22" s="687"/>
      <c r="L22" s="490"/>
    </row>
    <row r="23" spans="1:12" s="484" customFormat="1" ht="28.5" hidden="1" customHeight="1">
      <c r="A23" s="536" t="s">
        <v>530</v>
      </c>
      <c r="B23" s="1050">
        <v>0</v>
      </c>
      <c r="C23" s="1051">
        <v>0</v>
      </c>
      <c r="D23" s="842">
        <f>IF((B23+C23)&gt;0,B23+C23,0)</f>
        <v>0</v>
      </c>
      <c r="E23" s="842">
        <v>0</v>
      </c>
      <c r="F23" s="1045"/>
      <c r="G23" s="537">
        <f t="shared" si="2"/>
        <v>0</v>
      </c>
      <c r="H23" s="842"/>
      <c r="I23" s="696"/>
    </row>
    <row r="24" spans="1:12" s="484" customFormat="1" hidden="1">
      <c r="A24" s="536"/>
      <c r="B24" s="1050"/>
      <c r="C24" s="1051">
        <v>0</v>
      </c>
      <c r="D24" s="842">
        <f t="shared" ref="D24:D29" si="3">IF((B24+C24)&gt;0,B24+C24,0)</f>
        <v>0</v>
      </c>
      <c r="E24" s="842">
        <v>0</v>
      </c>
      <c r="F24" s="1045"/>
      <c r="G24" s="537">
        <f t="shared" si="2"/>
        <v>0</v>
      </c>
      <c r="H24" s="842"/>
      <c r="I24" s="538" t="s">
        <v>531</v>
      </c>
    </row>
    <row r="25" spans="1:12" s="484" customFormat="1" hidden="1">
      <c r="A25" s="536"/>
      <c r="B25" s="1050"/>
      <c r="C25" s="1051">
        <v>0</v>
      </c>
      <c r="D25" s="842">
        <f t="shared" si="3"/>
        <v>0</v>
      </c>
      <c r="E25" s="842">
        <v>0</v>
      </c>
      <c r="F25" s="1045"/>
      <c r="G25" s="537">
        <f t="shared" si="2"/>
        <v>0</v>
      </c>
      <c r="H25" s="842"/>
      <c r="I25" s="538" t="s">
        <v>532</v>
      </c>
    </row>
    <row r="26" spans="1:12" s="484" customFormat="1" hidden="1">
      <c r="A26" s="536"/>
      <c r="B26" s="1050"/>
      <c r="C26" s="1051">
        <v>0</v>
      </c>
      <c r="D26" s="842">
        <f t="shared" si="3"/>
        <v>0</v>
      </c>
      <c r="E26" s="842">
        <v>0</v>
      </c>
      <c r="F26" s="1045"/>
      <c r="G26" s="537">
        <f t="shared" si="2"/>
        <v>0</v>
      </c>
      <c r="H26" s="842"/>
      <c r="I26" s="538" t="s">
        <v>533</v>
      </c>
    </row>
    <row r="27" spans="1:12" s="484" customFormat="1" hidden="1">
      <c r="A27" s="536"/>
      <c r="B27" s="1050"/>
      <c r="C27" s="1051">
        <v>0</v>
      </c>
      <c r="D27" s="842">
        <f t="shared" si="3"/>
        <v>0</v>
      </c>
      <c r="E27" s="842">
        <v>0</v>
      </c>
      <c r="F27" s="1045"/>
      <c r="G27" s="537">
        <f t="shared" si="2"/>
        <v>0</v>
      </c>
      <c r="H27" s="842"/>
      <c r="I27" s="538" t="s">
        <v>534</v>
      </c>
    </row>
    <row r="28" spans="1:12" s="484" customFormat="1" hidden="1">
      <c r="A28" s="536"/>
      <c r="B28" s="1050"/>
      <c r="C28" s="1051">
        <v>0</v>
      </c>
      <c r="D28" s="842">
        <f t="shared" si="3"/>
        <v>0</v>
      </c>
      <c r="E28" s="842">
        <v>0</v>
      </c>
      <c r="F28" s="1045"/>
      <c r="G28" s="537">
        <f t="shared" si="2"/>
        <v>0</v>
      </c>
      <c r="H28" s="842"/>
      <c r="I28" s="538" t="s">
        <v>535</v>
      </c>
    </row>
    <row r="29" spans="1:12" s="484" customFormat="1" hidden="1">
      <c r="A29" s="536"/>
      <c r="B29" s="1050"/>
      <c r="C29" s="1051">
        <v>0</v>
      </c>
      <c r="D29" s="842">
        <f t="shared" si="3"/>
        <v>0</v>
      </c>
      <c r="E29" s="842">
        <v>0</v>
      </c>
      <c r="F29" s="1045"/>
      <c r="G29" s="537">
        <f t="shared" si="2"/>
        <v>0</v>
      </c>
      <c r="H29" s="842"/>
      <c r="I29" s="538" t="s">
        <v>536</v>
      </c>
    </row>
    <row r="30" spans="1:12" s="484" customFormat="1" ht="21.75" customHeight="1">
      <c r="A30" s="194" t="s">
        <v>1407</v>
      </c>
      <c r="B30" s="1050">
        <v>6958.31</v>
      </c>
      <c r="C30" s="1050">
        <v>-22116.11</v>
      </c>
      <c r="D30" s="842">
        <f>IF((B30+C30)&gt;0,B30+C30,0)</f>
        <v>0</v>
      </c>
      <c r="E30" s="842">
        <v>0</v>
      </c>
      <c r="F30" s="1045">
        <f>D30-E30</f>
        <v>0</v>
      </c>
      <c r="G30" s="537">
        <f t="shared" si="2"/>
        <v>0</v>
      </c>
      <c r="H30" s="842"/>
      <c r="I30" s="538"/>
    </row>
    <row r="31" spans="1:12" s="484" customFormat="1" ht="21.75" hidden="1" customHeight="1">
      <c r="A31" s="536" t="s">
        <v>537</v>
      </c>
      <c r="B31" s="1050">
        <v>0</v>
      </c>
      <c r="C31" s="1051">
        <v>0</v>
      </c>
      <c r="D31" s="842">
        <f>IF((B31+C31)&gt;0,B31+C31,0)</f>
        <v>0</v>
      </c>
      <c r="E31" s="842">
        <v>0</v>
      </c>
      <c r="F31" s="1045">
        <f>D31-E31</f>
        <v>0</v>
      </c>
      <c r="G31" s="537">
        <f t="shared" si="2"/>
        <v>0</v>
      </c>
      <c r="H31" s="842">
        <f>F31+6408.23+2552.35-872.78+1745.56-9833.36</f>
        <v>0</v>
      </c>
      <c r="I31" s="538"/>
      <c r="K31" s="687"/>
    </row>
    <row r="32" spans="1:12" s="484" customFormat="1" ht="19.5" customHeight="1">
      <c r="A32" s="539"/>
      <c r="B32" s="843"/>
      <c r="C32" s="843"/>
      <c r="D32" s="843"/>
      <c r="E32" s="844"/>
      <c r="F32" s="845"/>
      <c r="G32" s="845"/>
      <c r="H32" s="843"/>
    </row>
    <row r="33" spans="1:10" s="484" customFormat="1" ht="20.25" customHeight="1" thickBot="1">
      <c r="A33" s="488" t="s">
        <v>85</v>
      </c>
      <c r="B33" s="846">
        <f t="shared" ref="B33:G33" si="4">SUM(B8:B32)</f>
        <v>30974.76</v>
      </c>
      <c r="C33" s="846">
        <f t="shared" si="4"/>
        <v>-39471.410000000003</v>
      </c>
      <c r="D33" s="846">
        <f t="shared" si="4"/>
        <v>7086.08</v>
      </c>
      <c r="E33" s="846">
        <f t="shared" si="4"/>
        <v>12313.759999999998</v>
      </c>
      <c r="F33" s="846">
        <f t="shared" si="4"/>
        <v>-5227.6799999999994</v>
      </c>
      <c r="G33" s="846">
        <f t="shared" si="4"/>
        <v>7086.08</v>
      </c>
      <c r="H33" s="846">
        <f>SUM(H8:H32)</f>
        <v>0</v>
      </c>
    </row>
    <row r="34" spans="1:10" s="484" customFormat="1" ht="14.25" thickTop="1" thickBot="1">
      <c r="B34" s="1207"/>
      <c r="C34" s="1207"/>
      <c r="D34" s="1207"/>
      <c r="E34" s="1207"/>
      <c r="F34" s="843"/>
      <c r="G34" s="843"/>
      <c r="H34" s="843"/>
    </row>
    <row r="35" spans="1:10" s="484" customFormat="1" ht="20.25" customHeight="1">
      <c r="B35" s="377"/>
      <c r="C35" s="843"/>
      <c r="D35" s="843"/>
      <c r="E35" s="933"/>
      <c r="F35" s="847" t="s">
        <v>1298</v>
      </c>
      <c r="G35" s="837" cm="1">
        <f t="array" ref="G35">IFERROR(INDEX('TB '!G:G,MATCH(G7,'TB '!A:A,0),0),0)</f>
        <v>-7086.08</v>
      </c>
      <c r="H35" s="837" cm="1">
        <f t="array" ref="H35">IFERROR(INDEX('TB '!G:G,MATCH(H7,'TB '!A:A,0),0),0)</f>
        <v>0</v>
      </c>
    </row>
    <row r="36" spans="1:10" s="484" customFormat="1" ht="20.25" customHeight="1">
      <c r="A36" s="333"/>
      <c r="B36" s="377"/>
      <c r="D36" s="843"/>
      <c r="E36" s="934"/>
      <c r="F36" s="847" t="s">
        <v>712</v>
      </c>
      <c r="G36" s="848">
        <f>-G35-G33</f>
        <v>0</v>
      </c>
      <c r="H36" s="848">
        <f>+H33-H35</f>
        <v>0</v>
      </c>
    </row>
    <row r="37" spans="1:10" s="484" customFormat="1" ht="18.75" customHeight="1">
      <c r="C37" s="843"/>
    </row>
    <row r="38" spans="1:10">
      <c r="C38" s="296"/>
    </row>
    <row r="39" spans="1:10">
      <c r="C39" s="296"/>
      <c r="H39" s="377"/>
    </row>
    <row r="40" spans="1:10">
      <c r="C40" s="296"/>
      <c r="G40" s="198"/>
      <c r="J40" s="704"/>
    </row>
    <row r="41" spans="1:10">
      <c r="C41" s="296"/>
      <c r="G41" s="198"/>
    </row>
    <row r="42" spans="1:10">
      <c r="C42" s="296"/>
      <c r="G42" s="198"/>
      <c r="J42" s="198"/>
    </row>
    <row r="43" spans="1:10">
      <c r="C43" s="296"/>
    </row>
  </sheetData>
  <mergeCells count="4">
    <mergeCell ref="A1:F1"/>
    <mergeCell ref="A2:F2"/>
    <mergeCell ref="A3:F3"/>
    <mergeCell ref="B34:E34"/>
  </mergeCells>
  <phoneticPr fontId="75" type="noConversion"/>
  <pageMargins left="0.7" right="0.7" top="0.75" bottom="0.75" header="0.3" footer="0.3"/>
  <pageSetup scale="64" orientation="landscape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6D1E8-4176-48EE-B99E-81070D8AD85F}">
  <sheetPr codeName="Sheet34"/>
  <dimension ref="A1:K27"/>
  <sheetViews>
    <sheetView zoomScale="85" zoomScaleNormal="85" workbookViewId="0">
      <selection sqref="A1:F1"/>
    </sheetView>
  </sheetViews>
  <sheetFormatPr defaultRowHeight="12.75"/>
  <cols>
    <col min="1" max="1" width="12.5703125" customWidth="1"/>
    <col min="2" max="2" width="2.5703125" customWidth="1"/>
    <col min="3" max="3" width="42.5703125" bestFit="1" customWidth="1"/>
    <col min="4" max="4" width="12.42578125" bestFit="1" customWidth="1"/>
    <col min="5" max="5" width="20.5703125" customWidth="1"/>
    <col min="6" max="6" width="24.42578125" customWidth="1"/>
    <col min="11" max="11" width="15" bestFit="1" customWidth="1"/>
  </cols>
  <sheetData>
    <row r="1" spans="1:11" s="296" customFormat="1" ht="18">
      <c r="A1" s="1179" t="str">
        <f>'Review Comments'!B9</f>
        <v>COCONUT GROVE RETAIL XIII, LLC</v>
      </c>
      <c r="B1" s="1180"/>
      <c r="C1" s="1180"/>
      <c r="D1" s="1180"/>
      <c r="E1" s="1180"/>
      <c r="F1" s="1181"/>
    </row>
    <row r="2" spans="1:11" s="296" customFormat="1" ht="18">
      <c r="A2" s="1201" t="s">
        <v>465</v>
      </c>
      <c r="B2" s="1202"/>
      <c r="C2" s="1202"/>
      <c r="D2" s="1202"/>
      <c r="E2" s="1202"/>
      <c r="F2" s="1203"/>
    </row>
    <row r="3" spans="1:11" s="296" customFormat="1" ht="18.75" thickBot="1">
      <c r="A3" s="1204" t="str">
        <f>'Review Comments'!B11</f>
        <v>FOR THE MONTH 07/31/2026</v>
      </c>
      <c r="B3" s="1205"/>
      <c r="C3" s="1205"/>
      <c r="D3" s="1205"/>
      <c r="E3" s="1205"/>
      <c r="F3" s="1206"/>
    </row>
    <row r="4" spans="1:11" s="296" customFormat="1"/>
    <row r="5" spans="1:11" s="296" customFormat="1"/>
    <row r="6" spans="1:11" s="296" customFormat="1"/>
    <row r="7" spans="1:11" s="296" customFormat="1" ht="13.5" thickBot="1"/>
    <row r="8" spans="1:11" s="296" customFormat="1">
      <c r="A8" s="414"/>
      <c r="B8" s="415"/>
      <c r="C8" s="415"/>
      <c r="D8" s="415"/>
      <c r="E8" s="415"/>
      <c r="F8" s="416"/>
    </row>
    <row r="9" spans="1:11" s="296" customFormat="1" ht="26.25" thickBot="1">
      <c r="A9" s="417" t="s">
        <v>303</v>
      </c>
      <c r="B9" s="418"/>
      <c r="C9" s="418" t="s">
        <v>10</v>
      </c>
      <c r="D9" s="418"/>
      <c r="E9" s="418" t="s">
        <v>11</v>
      </c>
      <c r="F9" s="419" t="s">
        <v>466</v>
      </c>
      <c r="G9" s="297"/>
      <c r="H9" s="297"/>
      <c r="I9" s="297"/>
      <c r="J9" s="297"/>
      <c r="K9" s="297"/>
    </row>
    <row r="10" spans="1:11" s="296" customFormat="1">
      <c r="A10" s="301"/>
      <c r="F10" s="542"/>
    </row>
    <row r="11" spans="1:11" s="296" customFormat="1">
      <c r="A11" s="716">
        <v>45981</v>
      </c>
      <c r="B11" s="424"/>
      <c r="C11" s="424" t="s">
        <v>1428</v>
      </c>
      <c r="D11" s="424"/>
      <c r="E11" s="548">
        <v>160000</v>
      </c>
      <c r="F11" s="560"/>
    </row>
    <row r="12" spans="1:11" s="296" customFormat="1">
      <c r="D12" s="424"/>
      <c r="E12" s="548"/>
      <c r="F12" s="563"/>
    </row>
    <row r="13" spans="1:11" s="305" customFormat="1" ht="13.5" thickBot="1">
      <c r="A13" s="564"/>
      <c r="B13" s="324"/>
      <c r="C13" s="324" t="s">
        <v>468</v>
      </c>
      <c r="D13" s="324"/>
      <c r="E13" s="549">
        <f>SUM(E11:E12)</f>
        <v>160000</v>
      </c>
      <c r="F13" s="565"/>
      <c r="K13" s="700"/>
    </row>
    <row r="14" spans="1:11" s="296" customFormat="1">
      <c r="E14" s="299"/>
    </row>
    <row r="15" spans="1:11" s="296" customFormat="1" ht="12.6" customHeight="1">
      <c r="B15" s="306"/>
      <c r="D15" s="834" t="s">
        <v>1217</v>
      </c>
      <c r="E15" s="884" cm="1">
        <f t="array" ref="E15">IFERROR(INDEX('TB '!G:G,MATCH(D15,'TB '!A:A,0),0),0)</f>
        <v>160000</v>
      </c>
    </row>
    <row r="16" spans="1:11" s="296" customFormat="1">
      <c r="D16" s="834" t="s">
        <v>712</v>
      </c>
      <c r="E16" s="1046">
        <f>E15-E13</f>
        <v>0</v>
      </c>
      <c r="K16" s="299"/>
    </row>
    <row r="17" spans="2:3" s="296" customFormat="1"/>
    <row r="18" spans="2:3">
      <c r="B18" s="307"/>
      <c r="C18" s="296"/>
    </row>
    <row r="19" spans="2:3">
      <c r="C19" s="296"/>
    </row>
    <row r="20" spans="2:3">
      <c r="C20" s="296"/>
    </row>
    <row r="21" spans="2:3">
      <c r="C21" s="296"/>
    </row>
    <row r="22" spans="2:3">
      <c r="C22" s="296"/>
    </row>
    <row r="23" spans="2:3">
      <c r="C23" s="296"/>
    </row>
    <row r="24" spans="2:3">
      <c r="C24" s="296"/>
    </row>
    <row r="25" spans="2:3">
      <c r="C25" s="296"/>
    </row>
    <row r="26" spans="2:3">
      <c r="C26" s="296"/>
    </row>
    <row r="27" spans="2:3">
      <c r="C27" s="296"/>
    </row>
  </sheetData>
  <mergeCells count="3">
    <mergeCell ref="A1:F1"/>
    <mergeCell ref="A2:F2"/>
    <mergeCell ref="A3:F3"/>
  </mergeCells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40">
    <pageSetUpPr fitToPage="1"/>
  </sheetPr>
  <dimension ref="A1:J47"/>
  <sheetViews>
    <sheetView zoomScale="93" zoomScaleNormal="93" workbookViewId="0">
      <pane ySplit="3" topLeftCell="A31" activePane="bottomLeft" state="frozen"/>
      <selection pane="bottomLeft" activeCell="F39" sqref="F39"/>
    </sheetView>
  </sheetViews>
  <sheetFormatPr defaultColWidth="12.42578125" defaultRowHeight="15"/>
  <cols>
    <col min="1" max="1" width="14.5703125" style="340" customWidth="1"/>
    <col min="2" max="2" width="2" style="340" customWidth="1"/>
    <col min="3" max="3" width="31.5703125" style="340" customWidth="1"/>
    <col min="4" max="4" width="39.42578125" style="340" bestFit="1" customWidth="1"/>
    <col min="5" max="5" width="2.42578125" style="340" customWidth="1"/>
    <col min="6" max="6" width="18" style="863" customWidth="1"/>
    <col min="7" max="7" width="2.5703125" style="344" customWidth="1"/>
    <col min="8" max="8" width="40.42578125" style="340" bestFit="1" customWidth="1"/>
    <col min="9" max="9" width="12.42578125" style="340"/>
    <col min="10" max="10" width="13.7109375" style="340" bestFit="1" customWidth="1"/>
    <col min="11" max="16384" width="12.42578125" style="340"/>
  </cols>
  <sheetData>
    <row r="1" spans="1:10" s="339" customFormat="1" ht="18">
      <c r="A1" s="1192" t="str">
        <f>'Review Comments'!B9</f>
        <v>COCONUT GROVE RETAIL XIII, LLC</v>
      </c>
      <c r="B1" s="1193"/>
      <c r="C1" s="1193"/>
      <c r="D1" s="1193"/>
      <c r="E1" s="1193"/>
      <c r="F1" s="1193"/>
      <c r="G1" s="1193"/>
      <c r="H1" s="1194"/>
    </row>
    <row r="2" spans="1:10" s="339" customFormat="1" ht="18">
      <c r="A2" s="1195" t="s">
        <v>470</v>
      </c>
      <c r="B2" s="1196"/>
      <c r="C2" s="1196"/>
      <c r="D2" s="1196"/>
      <c r="E2" s="1196"/>
      <c r="F2" s="1196"/>
      <c r="G2" s="1196"/>
      <c r="H2" s="1197"/>
    </row>
    <row r="3" spans="1:10" s="339" customFormat="1" ht="18.75" thickBot="1">
      <c r="A3" s="1198" t="str">
        <f>'Review Comments'!B11</f>
        <v>FOR THE MONTH 07/31/2026</v>
      </c>
      <c r="B3" s="1199"/>
      <c r="C3" s="1199"/>
      <c r="D3" s="1199"/>
      <c r="E3" s="1199"/>
      <c r="F3" s="1199"/>
      <c r="G3" s="1199"/>
      <c r="H3" s="1200"/>
    </row>
    <row r="4" spans="1:10" ht="15.75" thickBot="1">
      <c r="D4" s="341"/>
      <c r="E4" s="342"/>
      <c r="F4" s="849"/>
      <c r="H4" s="345"/>
    </row>
    <row r="5" spans="1:10" s="345" customFormat="1" ht="12.75">
      <c r="A5" s="346"/>
      <c r="B5" s="347"/>
      <c r="C5" s="347"/>
      <c r="D5" s="348"/>
      <c r="E5" s="349"/>
      <c r="F5" s="850"/>
      <c r="G5" s="351"/>
      <c r="H5" s="352"/>
    </row>
    <row r="6" spans="1:10" s="345" customFormat="1" ht="13.5" thickBot="1">
      <c r="A6" s="353" t="s">
        <v>40</v>
      </c>
      <c r="B6" s="354"/>
      <c r="C6" s="355" t="s">
        <v>144</v>
      </c>
      <c r="D6" s="355" t="s">
        <v>471</v>
      </c>
      <c r="E6" s="354"/>
      <c r="F6" s="851" t="s">
        <v>11</v>
      </c>
      <c r="G6" s="357"/>
      <c r="H6" s="358" t="s">
        <v>10</v>
      </c>
    </row>
    <row r="7" spans="1:10" s="345" customFormat="1" ht="13.5" thickBot="1">
      <c r="A7" s="763"/>
      <c r="B7" s="347"/>
      <c r="C7" s="764"/>
      <c r="D7" s="764"/>
      <c r="E7" s="347"/>
      <c r="F7" s="852"/>
      <c r="G7" s="351"/>
      <c r="H7" s="765"/>
    </row>
    <row r="8" spans="1:10" s="345" customFormat="1" ht="13.5" customHeight="1">
      <c r="A8" s="766"/>
      <c r="B8" s="767"/>
      <c r="C8" s="768"/>
      <c r="D8" s="767"/>
      <c r="E8" s="767"/>
      <c r="F8" s="860"/>
      <c r="G8" s="769"/>
      <c r="H8" s="770"/>
      <c r="J8" s="726" t="s">
        <v>538</v>
      </c>
    </row>
    <row r="9" spans="1:10" s="345" customFormat="1" ht="13.5" customHeight="1">
      <c r="A9" s="200"/>
      <c r="C9" s="360"/>
      <c r="D9"/>
      <c r="F9" s="853"/>
      <c r="G9" s="344"/>
      <c r="H9" s="366"/>
      <c r="J9" s="726"/>
    </row>
    <row r="10" spans="1:10" s="345" customFormat="1" ht="13.5" customHeight="1">
      <c r="A10" s="200"/>
      <c r="C10" s="333"/>
      <c r="D10" s="333"/>
      <c r="F10" s="853"/>
      <c r="G10" s="344"/>
      <c r="H10" s="366"/>
      <c r="J10" s="726"/>
    </row>
    <row r="11" spans="1:10" s="345" customFormat="1" ht="13.5" customHeight="1">
      <c r="G11" s="344"/>
      <c r="H11" s="366"/>
      <c r="J11" s="726"/>
    </row>
    <row r="12" spans="1:10" s="345" customFormat="1" ht="13.5" customHeight="1">
      <c r="A12" s="364"/>
      <c r="F12" s="854"/>
      <c r="G12" s="344"/>
      <c r="H12" s="366"/>
      <c r="J12" s="726"/>
    </row>
    <row r="13" spans="1:10" ht="15.75" thickBot="1">
      <c r="A13" s="367"/>
      <c r="B13" s="368"/>
      <c r="C13" s="368"/>
      <c r="D13" s="369" t="s">
        <v>481</v>
      </c>
      <c r="E13" s="370"/>
      <c r="F13" s="855">
        <f>SUM(F8:F10)</f>
        <v>0</v>
      </c>
      <c r="G13" s="372"/>
      <c r="H13" s="373"/>
    </row>
    <row r="14" spans="1:10">
      <c r="D14" s="345"/>
      <c r="E14" s="345"/>
      <c r="F14" s="856"/>
      <c r="H14" s="345"/>
    </row>
    <row r="15" spans="1:10">
      <c r="D15" s="345"/>
      <c r="E15" s="345"/>
      <c r="F15" s="856"/>
      <c r="H15" s="345"/>
    </row>
    <row r="16" spans="1:10" ht="15.75" thickBot="1">
      <c r="F16" s="857"/>
    </row>
    <row r="17" spans="1:10" s="345" customFormat="1" ht="12.75">
      <c r="A17" s="346"/>
      <c r="B17" s="347"/>
      <c r="C17" s="347"/>
      <c r="D17" s="348"/>
      <c r="E17" s="349"/>
      <c r="F17" s="858"/>
      <c r="G17" s="351"/>
      <c r="H17" s="352"/>
    </row>
    <row r="18" spans="1:10" s="345" customFormat="1" ht="13.5" thickBot="1">
      <c r="A18" s="353" t="s">
        <v>40</v>
      </c>
      <c r="B18" s="354"/>
      <c r="C18" s="355" t="s">
        <v>144</v>
      </c>
      <c r="D18" s="355" t="s">
        <v>471</v>
      </c>
      <c r="E18" s="354"/>
      <c r="F18" s="859" t="s">
        <v>11</v>
      </c>
      <c r="G18" s="357"/>
      <c r="H18" s="358" t="s">
        <v>10</v>
      </c>
    </row>
    <row r="19" spans="1:10" s="345" customFormat="1" ht="12.75">
      <c r="A19" s="766"/>
      <c r="B19" s="767"/>
      <c r="C19" s="768"/>
      <c r="D19" s="767"/>
      <c r="E19" s="767"/>
      <c r="F19" s="860"/>
      <c r="G19" s="769"/>
      <c r="H19" s="770"/>
    </row>
    <row r="20" spans="1:10" s="345" customFormat="1" ht="12.75">
      <c r="A20" s="771"/>
      <c r="F20" s="853"/>
      <c r="G20" s="344"/>
      <c r="H20" s="366"/>
      <c r="J20" s="726" t="s">
        <v>539</v>
      </c>
    </row>
    <row r="21" spans="1:10" s="345" customFormat="1" ht="12.75">
      <c r="A21" s="200">
        <v>46199</v>
      </c>
      <c r="C21" s="333" t="s">
        <v>1462</v>
      </c>
      <c r="D21" s="333" t="s">
        <v>1527</v>
      </c>
      <c r="F21" s="853">
        <v>226.54</v>
      </c>
      <c r="G21" s="344"/>
      <c r="H21" s="366" t="s">
        <v>1528</v>
      </c>
      <c r="J21" s="726" t="s">
        <v>538</v>
      </c>
    </row>
    <row r="22" spans="1:10" s="345" customFormat="1" ht="13.5" customHeight="1">
      <c r="A22" s="771"/>
      <c r="D22" s="926"/>
      <c r="F22" s="853"/>
      <c r="G22" s="344"/>
      <c r="H22" s="366"/>
    </row>
    <row r="23" spans="1:10" s="345" customFormat="1" ht="13.5" customHeight="1">
      <c r="A23" s="200"/>
      <c r="C23"/>
      <c r="D23"/>
      <c r="F23" s="853"/>
      <c r="G23" s="344"/>
      <c r="H23" s="366"/>
    </row>
    <row r="24" spans="1:10" s="345" customFormat="1" ht="13.5" customHeight="1">
      <c r="A24" s="785"/>
      <c r="D24" s="333"/>
      <c r="F24" s="854"/>
      <c r="G24" s="344"/>
      <c r="H24" s="366"/>
    </row>
    <row r="25" spans="1:10" s="345" customFormat="1" ht="13.5" customHeight="1" thickBot="1">
      <c r="A25" s="367"/>
      <c r="B25" s="368"/>
      <c r="C25" s="368"/>
      <c r="D25" s="369" t="s">
        <v>489</v>
      </c>
      <c r="E25" s="370"/>
      <c r="F25" s="861">
        <f>SUM(F20:F23)</f>
        <v>226.54</v>
      </c>
      <c r="G25" s="372"/>
      <c r="H25" s="373"/>
    </row>
    <row r="26" spans="1:10">
      <c r="D26" s="345"/>
      <c r="E26" s="345"/>
      <c r="F26" s="856"/>
      <c r="H26" s="345"/>
    </row>
    <row r="27" spans="1:10" ht="15.75" thickBot="1">
      <c r="D27" s="345"/>
      <c r="E27" s="345"/>
      <c r="F27" s="856"/>
      <c r="H27" s="345"/>
    </row>
    <row r="28" spans="1:10">
      <c r="D28" s="834" t="s">
        <v>1200</v>
      </c>
      <c r="E28" s="840"/>
      <c r="F28" s="837" cm="1">
        <f t="array" ref="F28">IFERROR(INDEX('TB '!G:G,MATCH(D28,'TB '!A:A,0),0),0)</f>
        <v>0</v>
      </c>
      <c r="H28" s="345" t="s">
        <v>540</v>
      </c>
    </row>
    <row r="29" spans="1:10">
      <c r="C29" s="756" t="s">
        <v>541</v>
      </c>
      <c r="D29" s="834" t="s">
        <v>712</v>
      </c>
      <c r="E29" s="840"/>
      <c r="F29" s="862">
        <f>F13-F28</f>
        <v>0</v>
      </c>
      <c r="H29" s="345" t="s">
        <v>542</v>
      </c>
    </row>
    <row r="30" spans="1:10">
      <c r="D30" s="345"/>
      <c r="E30" s="345"/>
      <c r="F30" s="856"/>
      <c r="H30" s="345"/>
    </row>
    <row r="31" spans="1:10">
      <c r="F31" s="857"/>
      <c r="I31" s="762"/>
    </row>
    <row r="32" spans="1:10">
      <c r="I32" s="762"/>
    </row>
    <row r="35" spans="9:10">
      <c r="I35" s="774"/>
    </row>
    <row r="38" spans="9:10">
      <c r="I38" s="774"/>
    </row>
    <row r="41" spans="9:10">
      <c r="J41" s="762"/>
    </row>
    <row r="42" spans="9:10">
      <c r="J42" s="762"/>
    </row>
    <row r="45" spans="9:10">
      <c r="J45" s="774"/>
    </row>
    <row r="47" spans="9:10">
      <c r="J47" s="774"/>
    </row>
  </sheetData>
  <mergeCells count="3">
    <mergeCell ref="A1:H1"/>
    <mergeCell ref="A2:H2"/>
    <mergeCell ref="A3:H3"/>
  </mergeCells>
  <pageMargins left="0.75" right="0.75" top="1" bottom="1" header="0.5" footer="0.5"/>
  <pageSetup scale="71" orientation="landscape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41"/>
  <dimension ref="A1:L37"/>
  <sheetViews>
    <sheetView zoomScale="85" zoomScaleNormal="85" workbookViewId="0">
      <pane ySplit="9" topLeftCell="A10" activePane="bottomLeft" state="frozen"/>
      <selection pane="bottomLeft" sqref="A1:G1"/>
    </sheetView>
  </sheetViews>
  <sheetFormatPr defaultRowHeight="12.75"/>
  <cols>
    <col min="1" max="1" width="12.5703125" customWidth="1"/>
    <col min="2" max="2" width="2.5703125" customWidth="1"/>
    <col min="3" max="3" width="26.42578125" customWidth="1"/>
    <col min="4" max="4" width="46.42578125" customWidth="1"/>
    <col min="5" max="5" width="12.42578125" customWidth="1"/>
    <col min="6" max="6" width="16.5703125" customWidth="1"/>
    <col min="7" max="7" width="47.42578125" customWidth="1"/>
  </cols>
  <sheetData>
    <row r="1" spans="1:12" s="296" customFormat="1" ht="18">
      <c r="A1" s="1179" t="str">
        <f>'Review Comments'!B9</f>
        <v>COCONUT GROVE RETAIL XIII, LLC</v>
      </c>
      <c r="B1" s="1180"/>
      <c r="C1" s="1180"/>
      <c r="D1" s="1180"/>
      <c r="E1" s="1180"/>
      <c r="F1" s="1180"/>
      <c r="G1" s="1181"/>
    </row>
    <row r="2" spans="1:12" s="296" customFormat="1" ht="18">
      <c r="A2" s="1201" t="s">
        <v>700</v>
      </c>
      <c r="B2" s="1202"/>
      <c r="C2" s="1202"/>
      <c r="D2" s="1202"/>
      <c r="E2" s="1202"/>
      <c r="F2" s="1202"/>
      <c r="G2" s="1203"/>
    </row>
    <row r="3" spans="1:12" s="296" customFormat="1" ht="18.75" thickBot="1">
      <c r="A3" s="1204" t="str">
        <f>'Review Comments'!B11</f>
        <v>FOR THE MONTH 07/31/2026</v>
      </c>
      <c r="B3" s="1205"/>
      <c r="C3" s="1205"/>
      <c r="D3" s="1205"/>
      <c r="E3" s="1205"/>
      <c r="F3" s="1205"/>
      <c r="G3" s="1206"/>
    </row>
    <row r="4" spans="1:12" s="296" customFormat="1"/>
    <row r="5" spans="1:12" s="296" customFormat="1"/>
    <row r="6" spans="1:12" s="296" customFormat="1"/>
    <row r="7" spans="1:12" s="296" customFormat="1" ht="13.5" thickBot="1">
      <c r="F7" s="819" t="s">
        <v>701</v>
      </c>
    </row>
    <row r="8" spans="1:12" s="296" customFormat="1">
      <c r="A8" s="414"/>
      <c r="B8" s="415"/>
      <c r="C8" s="415"/>
      <c r="D8" s="415"/>
      <c r="E8" s="415"/>
      <c r="F8" s="415"/>
      <c r="G8" s="416"/>
    </row>
    <row r="9" spans="1:12" s="296" customFormat="1" ht="26.25" thickBot="1">
      <c r="A9" s="417" t="s">
        <v>303</v>
      </c>
      <c r="B9" s="418"/>
      <c r="C9" s="418" t="s">
        <v>471</v>
      </c>
      <c r="D9" s="418" t="s">
        <v>10</v>
      </c>
      <c r="E9" s="418"/>
      <c r="F9" s="418" t="s">
        <v>11</v>
      </c>
      <c r="G9" s="419" t="s">
        <v>466</v>
      </c>
      <c r="H9" s="297"/>
      <c r="I9" s="297"/>
      <c r="J9" s="297"/>
      <c r="K9" s="297"/>
      <c r="L9" s="297"/>
    </row>
    <row r="10" spans="1:12" s="296" customFormat="1">
      <c r="A10" s="301"/>
      <c r="G10" s="542"/>
    </row>
    <row r="11" spans="1:12" s="296" customFormat="1">
      <c r="A11" s="420">
        <v>46022</v>
      </c>
      <c r="B11" s="326"/>
      <c r="C11" s="326"/>
      <c r="D11" s="425" t="s">
        <v>1441</v>
      </c>
      <c r="E11" s="326"/>
      <c r="F11" s="585">
        <v>150</v>
      </c>
      <c r="G11" s="586"/>
    </row>
    <row r="12" spans="1:12" s="296" customFormat="1" hidden="1">
      <c r="A12" s="420">
        <v>43068</v>
      </c>
      <c r="B12" s="326"/>
      <c r="C12" s="326" t="s">
        <v>703</v>
      </c>
      <c r="D12" s="598" t="s">
        <v>704</v>
      </c>
      <c r="E12" s="424"/>
      <c r="F12" s="645">
        <v>0</v>
      </c>
      <c r="G12" s="393" t="s">
        <v>705</v>
      </c>
    </row>
    <row r="13" spans="1:12" s="296" customFormat="1" hidden="1">
      <c r="A13" s="420">
        <v>43068</v>
      </c>
      <c r="B13" s="424"/>
      <c r="C13" s="326" t="s">
        <v>703</v>
      </c>
      <c r="D13" s="598" t="s">
        <v>706</v>
      </c>
      <c r="E13" s="424"/>
      <c r="F13" s="548">
        <v>0</v>
      </c>
      <c r="G13" s="393" t="s">
        <v>705</v>
      </c>
    </row>
    <row r="14" spans="1:12" s="296" customFormat="1" hidden="1">
      <c r="A14" s="420">
        <v>43068</v>
      </c>
      <c r="B14" s="424"/>
      <c r="C14" s="326" t="s">
        <v>703</v>
      </c>
      <c r="D14" s="598" t="s">
        <v>707</v>
      </c>
      <c r="E14" s="643"/>
      <c r="F14" s="548">
        <v>0</v>
      </c>
      <c r="G14" s="393" t="s">
        <v>705</v>
      </c>
    </row>
    <row r="15" spans="1:12" s="296" customFormat="1" hidden="1">
      <c r="A15" s="420">
        <v>43068</v>
      </c>
      <c r="B15" s="424"/>
      <c r="C15" s="326" t="s">
        <v>703</v>
      </c>
      <c r="D15" s="598" t="s">
        <v>708</v>
      </c>
      <c r="E15" s="424"/>
      <c r="F15" s="645">
        <f>-530+74.31+74.46+74.39+74.46-267.62+500</f>
        <v>0</v>
      </c>
      <c r="G15" s="393" t="s">
        <v>705</v>
      </c>
    </row>
    <row r="16" spans="1:12" s="296" customFormat="1" hidden="1">
      <c r="A16" s="420">
        <v>43068</v>
      </c>
      <c r="B16" s="424"/>
      <c r="C16" s="326" t="s">
        <v>703</v>
      </c>
      <c r="D16" s="598" t="s">
        <v>709</v>
      </c>
      <c r="E16" s="424"/>
      <c r="F16" s="548">
        <v>0</v>
      </c>
      <c r="G16" s="393" t="s">
        <v>705</v>
      </c>
    </row>
    <row r="17" spans="1:7" s="296" customFormat="1" hidden="1">
      <c r="A17" s="420">
        <v>43068</v>
      </c>
      <c r="B17" s="424"/>
      <c r="C17" s="326" t="s">
        <v>703</v>
      </c>
      <c r="D17" s="598" t="s">
        <v>710</v>
      </c>
      <c r="E17" s="424"/>
      <c r="F17" s="548">
        <v>0</v>
      </c>
      <c r="G17" s="393" t="s">
        <v>705</v>
      </c>
    </row>
    <row r="18" spans="1:7" s="296" customFormat="1" hidden="1">
      <c r="A18" s="420">
        <v>43068</v>
      </c>
      <c r="B18" s="424"/>
      <c r="C18" s="326" t="s">
        <v>703</v>
      </c>
      <c r="D18" s="598" t="s">
        <v>711</v>
      </c>
      <c r="E18" s="424"/>
      <c r="F18" s="548">
        <f>500-500</f>
        <v>0</v>
      </c>
      <c r="G18" s="393" t="s">
        <v>705</v>
      </c>
    </row>
    <row r="19" spans="1:7" s="296" customFormat="1" hidden="1">
      <c r="A19" s="420">
        <v>43087</v>
      </c>
      <c r="B19" s="424"/>
      <c r="C19" s="326" t="s">
        <v>703</v>
      </c>
      <c r="D19" s="598" t="s">
        <v>706</v>
      </c>
      <c r="E19" s="644"/>
      <c r="F19" s="645">
        <v>0</v>
      </c>
      <c r="G19" s="393" t="s">
        <v>705</v>
      </c>
    </row>
    <row r="20" spans="1:7" s="296" customFormat="1" hidden="1">
      <c r="A20" s="420">
        <v>43087</v>
      </c>
      <c r="B20" s="424"/>
      <c r="C20" s="326" t="s">
        <v>703</v>
      </c>
      <c r="D20" s="598" t="s">
        <v>711</v>
      </c>
      <c r="E20" s="424"/>
      <c r="F20" s="548">
        <v>0</v>
      </c>
      <c r="G20" s="393" t="s">
        <v>705</v>
      </c>
    </row>
    <row r="21" spans="1:7" s="296" customFormat="1">
      <c r="A21" s="420"/>
      <c r="B21" s="424"/>
      <c r="C21" s="326"/>
      <c r="D21" s="598"/>
      <c r="E21" s="424"/>
      <c r="F21" s="597"/>
      <c r="G21" s="393"/>
    </row>
    <row r="22" spans="1:7" s="296" customFormat="1">
      <c r="A22" s="562"/>
      <c r="B22" s="424"/>
      <c r="C22" s="424"/>
      <c r="D22" s="424"/>
      <c r="E22" s="424"/>
      <c r="F22" s="548"/>
      <c r="G22" s="393"/>
    </row>
    <row r="23" spans="1:7" s="305" customFormat="1" ht="13.5" thickBot="1">
      <c r="A23" s="564"/>
      <c r="B23" s="324"/>
      <c r="C23" s="324"/>
      <c r="D23" s="324" t="s">
        <v>468</v>
      </c>
      <c r="E23" s="324"/>
      <c r="F23" s="549">
        <f>SUM(F11:F22)</f>
        <v>150</v>
      </c>
      <c r="G23" s="399"/>
    </row>
    <row r="24" spans="1:7" s="296" customFormat="1">
      <c r="A24" s="424"/>
      <c r="B24" s="424"/>
      <c r="C24" s="424"/>
      <c r="D24" s="424"/>
      <c r="E24" s="424"/>
      <c r="F24" s="548"/>
      <c r="G24" s="424"/>
    </row>
    <row r="25" spans="1:7" s="296" customFormat="1">
      <c r="A25" s="1208"/>
      <c r="B25" s="1209"/>
      <c r="C25" s="1209"/>
      <c r="D25" s="1210"/>
      <c r="E25" s="834" t="s">
        <v>701</v>
      </c>
      <c r="F25" s="884" cm="1">
        <f t="array" ref="F25">IFERROR(INDEX('TB '!G:G,MATCH(E25,'TB '!A:A,0),0),0)</f>
        <v>150</v>
      </c>
      <c r="G25" s="424"/>
    </row>
    <row r="26" spans="1:7" s="296" customFormat="1">
      <c r="A26" s="1211"/>
      <c r="B26" s="1212"/>
      <c r="C26" s="1212"/>
      <c r="D26" s="1213"/>
      <c r="E26" s="834" t="s">
        <v>712</v>
      </c>
      <c r="F26" s="1046">
        <f>F25-F23</f>
        <v>0</v>
      </c>
    </row>
    <row r="27" spans="1:7" s="296" customFormat="1"/>
    <row r="28" spans="1:7">
      <c r="B28" s="307"/>
      <c r="C28" s="307"/>
      <c r="D28" s="296"/>
    </row>
    <row r="29" spans="1:7">
      <c r="D29" s="296"/>
    </row>
    <row r="30" spans="1:7">
      <c r="C30" s="296"/>
      <c r="D30" s="296"/>
    </row>
    <row r="31" spans="1:7">
      <c r="D31" s="296"/>
    </row>
    <row r="32" spans="1:7">
      <c r="D32" s="296"/>
    </row>
    <row r="33" spans="3:4">
      <c r="C33" s="296"/>
      <c r="D33" s="296"/>
    </row>
    <row r="34" spans="3:4">
      <c r="D34" s="296"/>
    </row>
    <row r="35" spans="3:4">
      <c r="D35" s="296"/>
    </row>
    <row r="36" spans="3:4">
      <c r="D36" s="296"/>
    </row>
    <row r="37" spans="3:4">
      <c r="D37" s="296"/>
    </row>
  </sheetData>
  <mergeCells count="4">
    <mergeCell ref="A1:G1"/>
    <mergeCell ref="A2:G2"/>
    <mergeCell ref="A3:G3"/>
    <mergeCell ref="A25:D26"/>
  </mergeCells>
  <pageMargins left="0.7" right="0.7" top="0.75" bottom="0.75" header="0.3" footer="0.3"/>
  <pageSetup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44"/>
  <dimension ref="A1:L30"/>
  <sheetViews>
    <sheetView topLeftCell="B8" workbookViewId="0">
      <selection activeCell="F16" sqref="F16"/>
    </sheetView>
  </sheetViews>
  <sheetFormatPr defaultRowHeight="12.75"/>
  <cols>
    <col min="1" max="1" width="12.5703125" customWidth="1"/>
    <col min="2" max="2" width="2.5703125" customWidth="1"/>
    <col min="3" max="3" width="26.42578125" customWidth="1"/>
    <col min="4" max="4" width="50.5703125" customWidth="1"/>
    <col min="5" max="6" width="12.42578125" bestFit="1" customWidth="1"/>
    <col min="7" max="7" width="48.5703125" customWidth="1"/>
  </cols>
  <sheetData>
    <row r="1" spans="1:12" s="296" customFormat="1" ht="18">
      <c r="A1" s="1179" t="str">
        <f>'Review Comments'!B9</f>
        <v>COCONUT GROVE RETAIL XIII, LLC</v>
      </c>
      <c r="B1" s="1180"/>
      <c r="C1" s="1180"/>
      <c r="D1" s="1180"/>
      <c r="E1" s="1180"/>
      <c r="F1" s="1180"/>
      <c r="G1" s="1181"/>
    </row>
    <row r="2" spans="1:12" s="296" customFormat="1" ht="18">
      <c r="A2" s="1201" t="s">
        <v>718</v>
      </c>
      <c r="B2" s="1202"/>
      <c r="C2" s="1202"/>
      <c r="D2" s="1202"/>
      <c r="E2" s="1202"/>
      <c r="F2" s="1202"/>
      <c r="G2" s="1203"/>
    </row>
    <row r="3" spans="1:12" s="296" customFormat="1" ht="18.75" thickBot="1">
      <c r="A3" s="1204" t="str">
        <f>'Review Comments'!B11</f>
        <v>FOR THE MONTH 07/31/2026</v>
      </c>
      <c r="B3" s="1205"/>
      <c r="C3" s="1205"/>
      <c r="D3" s="1205"/>
      <c r="E3" s="1205"/>
      <c r="F3" s="1205"/>
      <c r="G3" s="1206"/>
    </row>
    <row r="4" spans="1:12" s="296" customFormat="1"/>
    <row r="5" spans="1:12" s="296" customFormat="1"/>
    <row r="6" spans="1:12" s="296" customFormat="1"/>
    <row r="7" spans="1:12" s="296" customFormat="1" ht="13.5" thickBot="1"/>
    <row r="8" spans="1:12" s="296" customFormat="1">
      <c r="A8" s="414"/>
      <c r="B8" s="415"/>
      <c r="C8" s="415"/>
      <c r="D8" s="415"/>
      <c r="E8" s="415"/>
      <c r="F8" s="415"/>
      <c r="G8" s="416"/>
    </row>
    <row r="9" spans="1:12" s="296" customFormat="1" ht="26.25" thickBot="1">
      <c r="A9" s="417" t="s">
        <v>303</v>
      </c>
      <c r="B9" s="418"/>
      <c r="C9" s="418" t="s">
        <v>471</v>
      </c>
      <c r="D9" s="418" t="s">
        <v>10</v>
      </c>
      <c r="E9" s="418"/>
      <c r="F9" s="418" t="s">
        <v>11</v>
      </c>
      <c r="G9" s="419" t="s">
        <v>466</v>
      </c>
      <c r="H9" s="297"/>
      <c r="I9" s="297"/>
      <c r="J9" s="297"/>
      <c r="K9" s="297"/>
      <c r="L9" s="297"/>
    </row>
    <row r="10" spans="1:12" s="296" customFormat="1">
      <c r="A10" s="1077"/>
      <c r="B10" s="297"/>
      <c r="C10" s="297"/>
      <c r="D10" s="297"/>
      <c r="E10" s="297"/>
      <c r="F10" s="1076"/>
      <c r="G10" s="1078"/>
      <c r="H10" s="297"/>
      <c r="I10" s="297"/>
      <c r="J10" s="297"/>
      <c r="K10" s="297"/>
      <c r="L10" s="297"/>
    </row>
    <row r="11" spans="1:12" s="296" customFormat="1">
      <c r="A11" s="1077"/>
      <c r="B11" s="297"/>
      <c r="C11" s="297"/>
      <c r="D11" s="297"/>
      <c r="E11" s="297"/>
      <c r="F11" s="1076"/>
      <c r="G11" s="1078"/>
      <c r="H11" s="297"/>
      <c r="I11" s="297"/>
      <c r="J11" s="297"/>
      <c r="K11" s="297"/>
      <c r="L11" s="297"/>
    </row>
    <row r="12" spans="1:12" s="296" customFormat="1">
      <c r="A12" s="1077"/>
      <c r="B12" s="297"/>
      <c r="C12" s="297"/>
      <c r="D12" s="297"/>
      <c r="E12" s="297"/>
      <c r="F12" s="1076"/>
      <c r="G12" s="1078"/>
      <c r="H12" s="297"/>
      <c r="I12" s="297"/>
      <c r="J12" s="297"/>
      <c r="K12" s="297"/>
      <c r="L12" s="297"/>
    </row>
    <row r="13" spans="1:12" s="296" customFormat="1">
      <c r="A13" s="1077"/>
      <c r="B13" s="297"/>
      <c r="C13" s="297"/>
      <c r="D13" s="297"/>
      <c r="E13" s="297"/>
      <c r="F13" s="1076"/>
      <c r="G13" s="1078"/>
      <c r="H13" s="297"/>
      <c r="I13" s="297"/>
      <c r="J13" s="297"/>
      <c r="K13" s="297"/>
      <c r="L13" s="297"/>
    </row>
    <row r="14" spans="1:12" s="296" customFormat="1">
      <c r="A14" s="1077"/>
      <c r="B14" s="297"/>
      <c r="C14" s="297"/>
      <c r="D14" s="297"/>
      <c r="E14" s="297"/>
      <c r="F14" s="1076"/>
      <c r="G14" s="1078"/>
      <c r="H14" s="297"/>
      <c r="I14" s="297"/>
      <c r="J14" s="297"/>
      <c r="K14" s="297"/>
      <c r="L14" s="297"/>
    </row>
    <row r="15" spans="1:12" s="296" customFormat="1">
      <c r="A15" s="1077"/>
      <c r="B15" s="297"/>
      <c r="C15" s="297"/>
      <c r="D15" s="297"/>
      <c r="E15" s="297"/>
      <c r="F15" s="1076"/>
      <c r="G15" s="1078"/>
      <c r="H15" s="297"/>
      <c r="I15" s="297"/>
      <c r="J15" s="297"/>
      <c r="K15" s="297"/>
      <c r="L15" s="297"/>
    </row>
    <row r="16" spans="1:12" s="305" customFormat="1" ht="13.5" thickBot="1">
      <c r="A16" s="564"/>
      <c r="B16" s="324"/>
      <c r="C16" s="324"/>
      <c r="D16" s="324" t="s">
        <v>468</v>
      </c>
      <c r="E16" s="324"/>
      <c r="F16" s="549">
        <f>SUM(F10:F15)</f>
        <v>0</v>
      </c>
      <c r="G16" s="399"/>
    </row>
    <row r="17" spans="1:7" s="296" customFormat="1">
      <c r="A17" s="424"/>
      <c r="B17" s="424"/>
      <c r="C17" s="424"/>
      <c r="D17" s="424"/>
      <c r="E17" s="424"/>
      <c r="F17" s="548"/>
      <c r="G17" s="424"/>
    </row>
    <row r="18" spans="1:7" s="296" customFormat="1">
      <c r="A18" s="424"/>
      <c r="B18" s="541"/>
      <c r="C18" s="541"/>
      <c r="D18" s="425"/>
      <c r="E18" s="834" t="s">
        <v>1458</v>
      </c>
      <c r="F18" s="884" cm="1">
        <f t="array" ref="F18">IFERROR(INDEX('TB '!G:G,MATCH(E18,'TB '!A:A,0),0),0)</f>
        <v>0</v>
      </c>
      <c r="G18" s="424"/>
    </row>
    <row r="19" spans="1:7" s="296" customFormat="1">
      <c r="D19" s="298"/>
      <c r="E19" s="834" t="s">
        <v>712</v>
      </c>
      <c r="F19" s="1046">
        <f>F18-F16</f>
        <v>0</v>
      </c>
    </row>
    <row r="20" spans="1:7" s="296" customFormat="1"/>
    <row r="21" spans="1:7">
      <c r="B21" s="307"/>
      <c r="C21" s="307"/>
      <c r="D21" s="296"/>
    </row>
    <row r="22" spans="1:7">
      <c r="D22" s="296"/>
    </row>
    <row r="23" spans="1:7">
      <c r="C23" s="296"/>
      <c r="D23" s="296"/>
    </row>
    <row r="24" spans="1:7">
      <c r="D24" s="296"/>
    </row>
    <row r="25" spans="1:7">
      <c r="D25" s="296"/>
    </row>
    <row r="26" spans="1:7">
      <c r="C26" s="296"/>
      <c r="D26" s="296"/>
    </row>
    <row r="27" spans="1:7">
      <c r="D27" s="296"/>
    </row>
    <row r="28" spans="1:7">
      <c r="D28" s="296"/>
    </row>
    <row r="29" spans="1:7">
      <c r="D29" s="296"/>
    </row>
    <row r="30" spans="1:7">
      <c r="D30" s="296"/>
    </row>
  </sheetData>
  <mergeCells count="3">
    <mergeCell ref="A1:G1"/>
    <mergeCell ref="A2:G2"/>
    <mergeCell ref="A3:G3"/>
  </mergeCells>
  <pageMargins left="0.7" right="0.7" top="0.75" bottom="0.75" header="0.3" footer="0.3"/>
  <pageSetup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45"/>
  <dimension ref="A1:K244"/>
  <sheetViews>
    <sheetView zoomScale="70" zoomScaleNormal="70" workbookViewId="0">
      <pane ySplit="9" topLeftCell="A219" activePane="bottomLeft" state="frozen"/>
      <selection pane="bottomLeft" activeCell="D244" sqref="D244"/>
    </sheetView>
  </sheetViews>
  <sheetFormatPr defaultRowHeight="12.75"/>
  <cols>
    <col min="1" max="1" width="12.5703125" customWidth="1"/>
    <col min="2" max="2" width="2.5703125" customWidth="1"/>
    <col min="3" max="3" width="13.5703125" customWidth="1"/>
    <col min="4" max="4" width="85.5703125" bestFit="1" customWidth="1"/>
    <col min="5" max="5" width="30.42578125" customWidth="1"/>
    <col min="6" max="6" width="20.5703125" style="870" customWidth="1"/>
    <col min="7" max="7" width="18" bestFit="1" customWidth="1"/>
    <col min="8" max="8" width="11.42578125" bestFit="1" customWidth="1"/>
  </cols>
  <sheetData>
    <row r="1" spans="1:11" s="296" customFormat="1" ht="18">
      <c r="A1" s="1179" t="str">
        <f>'Review Comments'!B9</f>
        <v>COCONUT GROVE RETAIL XIII, LLC</v>
      </c>
      <c r="B1" s="1180"/>
      <c r="C1" s="1180"/>
      <c r="D1" s="1180"/>
      <c r="E1" s="1180"/>
      <c r="F1" s="1181"/>
    </row>
    <row r="2" spans="1:11" s="296" customFormat="1" ht="18">
      <c r="A2" s="1201" t="s">
        <v>543</v>
      </c>
      <c r="B2" s="1202"/>
      <c r="C2" s="1202"/>
      <c r="D2" s="1202"/>
      <c r="E2" s="1202"/>
      <c r="F2" s="1203"/>
    </row>
    <row r="3" spans="1:11" s="296" customFormat="1" ht="18.75" thickBot="1">
      <c r="A3" s="1214" t="str">
        <f>'Review Comments'!B11</f>
        <v>FOR THE MONTH 07/31/2026</v>
      </c>
      <c r="B3" s="1215"/>
      <c r="C3" s="1215"/>
      <c r="D3" s="1215"/>
      <c r="E3" s="1215"/>
      <c r="F3" s="1216"/>
    </row>
    <row r="4" spans="1:11" s="296" customFormat="1">
      <c r="F4" s="864"/>
    </row>
    <row r="5" spans="1:11" s="296" customFormat="1">
      <c r="F5" s="864"/>
    </row>
    <row r="6" spans="1:11" s="296" customFormat="1">
      <c r="F6" s="864"/>
    </row>
    <row r="7" spans="1:11" s="296" customFormat="1" ht="13.5" thickBot="1">
      <c r="F7" s="864"/>
    </row>
    <row r="8" spans="1:11" s="296" customFormat="1">
      <c r="A8" s="414"/>
      <c r="B8" s="415"/>
      <c r="C8" s="415"/>
      <c r="D8" s="415"/>
      <c r="E8" s="415"/>
      <c r="F8" s="865"/>
    </row>
    <row r="9" spans="1:11" s="296" customFormat="1" ht="26.25" thickBot="1">
      <c r="A9" s="417" t="s">
        <v>303</v>
      </c>
      <c r="B9" s="418"/>
      <c r="C9" s="418" t="s">
        <v>544</v>
      </c>
      <c r="D9" s="418" t="s">
        <v>10</v>
      </c>
      <c r="E9" s="418" t="s">
        <v>545</v>
      </c>
      <c r="F9" s="866" t="s">
        <v>11</v>
      </c>
      <c r="G9" s="297"/>
      <c r="H9" s="297"/>
      <c r="I9" s="297"/>
      <c r="J9" s="297"/>
      <c r="K9" s="297"/>
    </row>
    <row r="10" spans="1:11" s="296" customFormat="1">
      <c r="A10" s="301"/>
      <c r="F10" s="300"/>
    </row>
    <row r="11" spans="1:11" s="296" customFormat="1">
      <c r="A11" s="444">
        <v>42978</v>
      </c>
      <c r="B11" s="424"/>
      <c r="C11" s="424">
        <v>14000</v>
      </c>
      <c r="D11" s="424" t="s">
        <v>546</v>
      </c>
      <c r="E11" s="424"/>
      <c r="F11" s="551">
        <v>18505427.859999999</v>
      </c>
      <c r="G11" s="821"/>
    </row>
    <row r="12" spans="1:11" s="296" customFormat="1">
      <c r="A12" s="639">
        <v>43100</v>
      </c>
      <c r="B12" s="634"/>
      <c r="C12" s="634"/>
      <c r="D12" s="634" t="s">
        <v>548</v>
      </c>
      <c r="E12" s="634"/>
      <c r="F12" s="867">
        <v>-14135835.66</v>
      </c>
    </row>
    <row r="13" spans="1:11" s="296" customFormat="1">
      <c r="A13" s="444"/>
      <c r="B13" s="424"/>
      <c r="C13" s="424"/>
      <c r="D13" s="424"/>
      <c r="E13" s="424"/>
      <c r="F13" s="551">
        <f>SUM(F11:F12)</f>
        <v>4369592.1999999993</v>
      </c>
      <c r="G13" s="705"/>
      <c r="H13" s="455"/>
    </row>
    <row r="14" spans="1:11" s="296" customFormat="1" ht="15" customHeight="1">
      <c r="A14" s="420"/>
      <c r="B14" s="326"/>
      <c r="C14" s="327"/>
      <c r="D14" s="421"/>
      <c r="E14" s="326"/>
      <c r="F14" s="422"/>
    </row>
    <row r="15" spans="1:11" s="296" customFormat="1">
      <c r="A15" s="423"/>
      <c r="B15" s="424"/>
      <c r="C15" s="424"/>
      <c r="D15" s="425"/>
      <c r="E15" s="424"/>
      <c r="F15" s="426"/>
    </row>
    <row r="16" spans="1:11" s="296" customFormat="1">
      <c r="A16" s="444">
        <v>42978</v>
      </c>
      <c r="B16" s="424"/>
      <c r="C16" s="424">
        <v>15000</v>
      </c>
      <c r="D16" s="425" t="s">
        <v>550</v>
      </c>
      <c r="E16" s="424"/>
      <c r="F16" s="551">
        <v>3265663.74</v>
      </c>
      <c r="G16" s="821"/>
    </row>
    <row r="17" spans="1:8" s="296" customFormat="1">
      <c r="A17" s="639">
        <v>43100</v>
      </c>
      <c r="B17" s="634"/>
      <c r="C17" s="634"/>
      <c r="D17" s="634" t="s">
        <v>548</v>
      </c>
      <c r="E17" s="634"/>
      <c r="F17" s="867">
        <v>14212705.060000001</v>
      </c>
    </row>
    <row r="18" spans="1:8" s="296" customFormat="1">
      <c r="A18" s="444"/>
      <c r="B18" s="424"/>
      <c r="C18" s="424"/>
      <c r="D18" s="425"/>
      <c r="E18" s="424"/>
      <c r="F18" s="551">
        <f>SUM(F16:F17)</f>
        <v>17478368.800000001</v>
      </c>
      <c r="G18" s="705"/>
      <c r="H18" s="455"/>
    </row>
    <row r="19" spans="1:8" s="296" customFormat="1">
      <c r="A19" s="444"/>
      <c r="B19" s="424"/>
      <c r="C19" s="424"/>
      <c r="D19" s="425"/>
      <c r="E19" s="424"/>
      <c r="F19" s="551"/>
    </row>
    <row r="20" spans="1:8" s="296" customFormat="1">
      <c r="A20" s="420"/>
      <c r="B20" s="424"/>
      <c r="C20" s="327"/>
      <c r="D20" s="425"/>
      <c r="E20" s="424"/>
      <c r="F20" s="426"/>
    </row>
    <row r="21" spans="1:8" s="296" customFormat="1">
      <c r="A21" s="420"/>
      <c r="B21" s="424"/>
      <c r="C21" s="424">
        <v>15010</v>
      </c>
      <c r="D21" s="425" t="s">
        <v>552</v>
      </c>
      <c r="E21" s="424"/>
      <c r="F21" s="551"/>
    </row>
    <row r="22" spans="1:8" s="296" customFormat="1">
      <c r="A22" s="640">
        <v>43279</v>
      </c>
      <c r="B22" s="424"/>
      <c r="C22" s="327"/>
      <c r="D22" s="635" t="s">
        <v>553</v>
      </c>
      <c r="E22" s="424"/>
      <c r="F22" s="551">
        <v>77883</v>
      </c>
    </row>
    <row r="23" spans="1:8" s="296" customFormat="1">
      <c r="A23" s="640">
        <v>43341</v>
      </c>
      <c r="B23" s="424"/>
      <c r="C23" s="327"/>
      <c r="D23" s="635" t="s">
        <v>554</v>
      </c>
      <c r="E23" s="424"/>
      <c r="F23" s="551">
        <v>13385.41</v>
      </c>
    </row>
    <row r="24" spans="1:8" s="296" customFormat="1">
      <c r="A24" s="640">
        <v>43341</v>
      </c>
      <c r="B24" s="424"/>
      <c r="C24" s="327"/>
      <c r="D24" s="635" t="s">
        <v>555</v>
      </c>
      <c r="E24" s="424"/>
      <c r="F24" s="551">
        <v>13385.41</v>
      </c>
    </row>
    <row r="25" spans="1:8" s="296" customFormat="1">
      <c r="A25" s="640">
        <v>43402</v>
      </c>
      <c r="B25" s="424"/>
      <c r="C25" s="327"/>
      <c r="D25" s="635" t="s">
        <v>556</v>
      </c>
      <c r="E25" s="424"/>
      <c r="F25" s="551">
        <v>17366</v>
      </c>
    </row>
    <row r="26" spans="1:8" s="296" customFormat="1">
      <c r="A26" s="640">
        <v>43456</v>
      </c>
      <c r="B26" s="424"/>
      <c r="C26" s="327"/>
      <c r="D26" s="635" t="s">
        <v>557</v>
      </c>
      <c r="E26" s="424"/>
      <c r="F26" s="551">
        <v>2200</v>
      </c>
    </row>
    <row r="27" spans="1:8" s="296" customFormat="1">
      <c r="A27" s="640">
        <v>43465</v>
      </c>
      <c r="B27" s="424"/>
      <c r="C27" s="327"/>
      <c r="D27" s="635" t="s">
        <v>558</v>
      </c>
      <c r="E27" s="424"/>
      <c r="F27" s="868">
        <f>-13385.41-13385.41</f>
        <v>-26770.82</v>
      </c>
    </row>
    <row r="28" spans="1:8" s="296" customFormat="1">
      <c r="A28" s="640">
        <v>43465</v>
      </c>
      <c r="B28" s="424"/>
      <c r="C28" s="327"/>
      <c r="D28" s="635" t="s">
        <v>559</v>
      </c>
      <c r="E28" s="424"/>
      <c r="F28" s="868">
        <v>-2200</v>
      </c>
    </row>
    <row r="29" spans="1:8" s="296" customFormat="1">
      <c r="A29" s="640">
        <v>43494</v>
      </c>
      <c r="B29" s="424"/>
      <c r="C29" s="327"/>
      <c r="D29" s="635" t="s">
        <v>560</v>
      </c>
      <c r="E29" s="424"/>
      <c r="F29" s="551">
        <v>31022.1</v>
      </c>
    </row>
    <row r="30" spans="1:8" s="296" customFormat="1">
      <c r="A30" s="640">
        <v>43494</v>
      </c>
      <c r="B30" s="424"/>
      <c r="C30" s="327"/>
      <c r="D30" s="635" t="s">
        <v>561</v>
      </c>
      <c r="E30" s="424"/>
      <c r="F30" s="551">
        <v>9900</v>
      </c>
    </row>
    <row r="31" spans="1:8" s="296" customFormat="1">
      <c r="A31" s="640">
        <v>43494</v>
      </c>
      <c r="B31" s="424"/>
      <c r="C31" s="327"/>
      <c r="D31" s="635" t="s">
        <v>562</v>
      </c>
      <c r="E31" s="424"/>
      <c r="F31" s="551">
        <v>2311.6</v>
      </c>
    </row>
    <row r="32" spans="1:8" s="296" customFormat="1">
      <c r="A32" s="640">
        <v>43522</v>
      </c>
      <c r="B32" s="424"/>
      <c r="C32" s="327"/>
      <c r="D32" s="635" t="s">
        <v>563</v>
      </c>
      <c r="E32" s="424"/>
      <c r="F32" s="551">
        <v>34169.35</v>
      </c>
    </row>
    <row r="33" spans="1:6" s="296" customFormat="1">
      <c r="A33" s="640">
        <v>43522</v>
      </c>
      <c r="B33" s="424"/>
      <c r="C33" s="327"/>
      <c r="D33" s="635" t="s">
        <v>564</v>
      </c>
      <c r="E33" s="424"/>
      <c r="F33" s="551">
        <v>10371.65</v>
      </c>
    </row>
    <row r="34" spans="1:6" s="296" customFormat="1">
      <c r="A34" s="640">
        <v>43532</v>
      </c>
      <c r="B34" s="424"/>
      <c r="C34" s="327"/>
      <c r="D34" s="635" t="s">
        <v>565</v>
      </c>
      <c r="E34" s="424"/>
      <c r="F34" s="551">
        <v>1100</v>
      </c>
    </row>
    <row r="35" spans="1:6" s="296" customFormat="1">
      <c r="A35" s="640">
        <v>43532</v>
      </c>
      <c r="B35" s="424"/>
      <c r="C35" s="327"/>
      <c r="D35" s="635" t="s">
        <v>566</v>
      </c>
      <c r="E35" s="424"/>
      <c r="F35" s="551">
        <v>3500</v>
      </c>
    </row>
    <row r="36" spans="1:6" s="296" customFormat="1">
      <c r="A36" s="640">
        <v>43538</v>
      </c>
      <c r="B36" s="424"/>
      <c r="C36" s="327"/>
      <c r="D36" s="635" t="s">
        <v>567</v>
      </c>
      <c r="E36" s="424"/>
      <c r="F36" s="551">
        <v>7250.86</v>
      </c>
    </row>
    <row r="37" spans="1:6" s="296" customFormat="1">
      <c r="A37" s="640">
        <v>43538</v>
      </c>
      <c r="B37" s="424"/>
      <c r="C37" s="327"/>
      <c r="D37" s="635" t="s">
        <v>568</v>
      </c>
      <c r="E37" s="424"/>
      <c r="F37" s="551">
        <v>68868.77</v>
      </c>
    </row>
    <row r="38" spans="1:6" s="296" customFormat="1">
      <c r="A38" s="640">
        <v>43546</v>
      </c>
      <c r="B38" s="424"/>
      <c r="C38" s="327"/>
      <c r="D38" s="635" t="s">
        <v>569</v>
      </c>
      <c r="E38" s="424"/>
      <c r="F38" s="551">
        <v>21317.41</v>
      </c>
    </row>
    <row r="39" spans="1:6" s="296" customFormat="1">
      <c r="A39" s="640">
        <v>43546</v>
      </c>
      <c r="B39" s="424"/>
      <c r="C39" s="327"/>
      <c r="D39" s="635" t="s">
        <v>570</v>
      </c>
      <c r="E39" s="424"/>
      <c r="F39" s="551">
        <v>77883</v>
      </c>
    </row>
    <row r="40" spans="1:6" s="296" customFormat="1">
      <c r="A40" s="640">
        <v>43546</v>
      </c>
      <c r="B40" s="424"/>
      <c r="C40" s="327"/>
      <c r="D40" s="635" t="s">
        <v>556</v>
      </c>
      <c r="E40" s="424"/>
      <c r="F40" s="551">
        <v>17366</v>
      </c>
    </row>
    <row r="41" spans="1:6" s="296" customFormat="1">
      <c r="A41" s="640">
        <v>43550</v>
      </c>
      <c r="B41" s="424"/>
      <c r="C41" s="327"/>
      <c r="D41" s="635" t="s">
        <v>571</v>
      </c>
      <c r="E41" s="424"/>
      <c r="F41" s="551">
        <v>1568.25</v>
      </c>
    </row>
    <row r="42" spans="1:6" s="296" customFormat="1">
      <c r="A42" s="640">
        <v>43552</v>
      </c>
      <c r="B42" s="424"/>
      <c r="C42" s="327"/>
      <c r="D42" s="635" t="s">
        <v>572</v>
      </c>
      <c r="E42" s="424"/>
      <c r="F42" s="551">
        <v>10375.16</v>
      </c>
    </row>
    <row r="43" spans="1:6" s="296" customFormat="1">
      <c r="A43" s="640">
        <v>43552</v>
      </c>
      <c r="B43" s="424"/>
      <c r="C43" s="327"/>
      <c r="D43" s="635" t="s">
        <v>573</v>
      </c>
      <c r="E43" s="424"/>
      <c r="F43" s="551">
        <v>1400</v>
      </c>
    </row>
    <row r="44" spans="1:6" s="296" customFormat="1">
      <c r="A44" s="640">
        <v>43584</v>
      </c>
      <c r="B44" s="424"/>
      <c r="C44" s="327"/>
      <c r="D44" s="635" t="s">
        <v>574</v>
      </c>
      <c r="E44" s="424"/>
      <c r="F44" s="551">
        <v>10194.290000000001</v>
      </c>
    </row>
    <row r="45" spans="1:6" s="296" customFormat="1">
      <c r="A45" s="640">
        <v>43584</v>
      </c>
      <c r="B45" s="424"/>
      <c r="C45" s="327"/>
      <c r="D45" s="635" t="s">
        <v>575</v>
      </c>
      <c r="E45" s="424"/>
      <c r="F45" s="551">
        <v>59711.34</v>
      </c>
    </row>
    <row r="46" spans="1:6" s="296" customFormat="1">
      <c r="A46" s="640">
        <v>43594</v>
      </c>
      <c r="B46" s="424"/>
      <c r="C46" s="327"/>
      <c r="D46" s="635" t="s">
        <v>576</v>
      </c>
      <c r="E46" s="424"/>
      <c r="F46" s="551">
        <v>5000</v>
      </c>
    </row>
    <row r="47" spans="1:6" s="296" customFormat="1">
      <c r="A47" s="640">
        <v>43622</v>
      </c>
      <c r="B47" s="424"/>
      <c r="C47" s="327"/>
      <c r="D47" s="635" t="s">
        <v>577</v>
      </c>
      <c r="E47" s="424"/>
      <c r="F47" s="551">
        <v>3000</v>
      </c>
    </row>
    <row r="48" spans="1:6" s="296" customFormat="1">
      <c r="A48" s="640">
        <v>43622</v>
      </c>
      <c r="B48" s="424"/>
      <c r="C48" s="327"/>
      <c r="D48" s="635" t="s">
        <v>578</v>
      </c>
      <c r="E48" s="424"/>
      <c r="F48" s="551">
        <v>50662.09</v>
      </c>
    </row>
    <row r="49" spans="1:6" s="296" customFormat="1">
      <c r="A49" s="640">
        <v>43623</v>
      </c>
      <c r="B49" s="424"/>
      <c r="C49" s="327"/>
      <c r="D49" s="635" t="s">
        <v>579</v>
      </c>
      <c r="E49" s="424"/>
      <c r="F49" s="551">
        <v>22535.34</v>
      </c>
    </row>
    <row r="50" spans="1:6" s="296" customFormat="1">
      <c r="A50" s="640">
        <v>43636</v>
      </c>
      <c r="B50" s="424"/>
      <c r="C50" s="327"/>
      <c r="D50" s="635" t="s">
        <v>580</v>
      </c>
      <c r="E50" s="424"/>
      <c r="F50" s="551">
        <v>24462.7</v>
      </c>
    </row>
    <row r="51" spans="1:6" s="296" customFormat="1">
      <c r="A51" s="640">
        <v>43636</v>
      </c>
      <c r="B51" s="424"/>
      <c r="C51" s="327"/>
      <c r="D51" s="635" t="s">
        <v>581</v>
      </c>
      <c r="E51" s="424"/>
      <c r="F51" s="551">
        <v>14900</v>
      </c>
    </row>
    <row r="52" spans="1:6" s="296" customFormat="1">
      <c r="A52" s="640">
        <v>43676</v>
      </c>
      <c r="B52" s="424"/>
      <c r="C52" s="327"/>
      <c r="D52" s="635" t="s">
        <v>582</v>
      </c>
      <c r="E52" s="424"/>
      <c r="F52" s="551">
        <v>10194.280000000001</v>
      </c>
    </row>
    <row r="53" spans="1:6" s="296" customFormat="1">
      <c r="A53" s="640">
        <v>43676</v>
      </c>
      <c r="B53" s="424"/>
      <c r="C53" s="327"/>
      <c r="D53" s="635" t="s">
        <v>583</v>
      </c>
      <c r="E53" s="424"/>
      <c r="F53" s="551">
        <v>7682</v>
      </c>
    </row>
    <row r="54" spans="1:6" s="296" customFormat="1">
      <c r="A54" s="640">
        <v>43676</v>
      </c>
      <c r="B54" s="424"/>
      <c r="C54" s="327"/>
      <c r="D54" s="635" t="s">
        <v>584</v>
      </c>
      <c r="E54" s="424"/>
      <c r="F54" s="551">
        <v>10800</v>
      </c>
    </row>
    <row r="55" spans="1:6" s="296" customFormat="1">
      <c r="A55" s="640">
        <v>43676</v>
      </c>
      <c r="B55" s="424"/>
      <c r="C55" s="327"/>
      <c r="D55" s="635" t="s">
        <v>585</v>
      </c>
      <c r="E55" s="424"/>
      <c r="F55" s="551">
        <v>996.87</v>
      </c>
    </row>
    <row r="56" spans="1:6" s="296" customFormat="1">
      <c r="A56" s="640">
        <v>43677</v>
      </c>
      <c r="B56" s="424"/>
      <c r="C56" s="327"/>
      <c r="D56" s="635" t="s">
        <v>586</v>
      </c>
      <c r="E56" s="424"/>
      <c r="F56" s="551">
        <v>11540.47</v>
      </c>
    </row>
    <row r="57" spans="1:6" s="296" customFormat="1">
      <c r="A57" s="640">
        <v>43677</v>
      </c>
      <c r="B57" s="424"/>
      <c r="C57" s="327"/>
      <c r="D57" s="635" t="s">
        <v>587</v>
      </c>
      <c r="E57" s="424"/>
      <c r="F57" s="551">
        <v>61060.11</v>
      </c>
    </row>
    <row r="58" spans="1:6" s="296" customFormat="1">
      <c r="A58" s="640">
        <v>43706</v>
      </c>
      <c r="B58" s="424"/>
      <c r="C58" s="327"/>
      <c r="D58" s="635" t="s">
        <v>588</v>
      </c>
      <c r="E58" s="424"/>
      <c r="F58" s="551">
        <v>162466.15</v>
      </c>
    </row>
    <row r="59" spans="1:6" s="296" customFormat="1">
      <c r="A59" s="640">
        <v>43706</v>
      </c>
      <c r="B59" s="424"/>
      <c r="C59" s="327"/>
      <c r="D59" s="635" t="s">
        <v>589</v>
      </c>
      <c r="E59" s="424"/>
      <c r="F59" s="551">
        <v>26647.27</v>
      </c>
    </row>
    <row r="60" spans="1:6" s="296" customFormat="1">
      <c r="A60" s="640">
        <v>43706</v>
      </c>
      <c r="B60" s="424"/>
      <c r="C60" s="327"/>
      <c r="D60" s="635" t="s">
        <v>590</v>
      </c>
      <c r="E60" s="424"/>
      <c r="F60" s="551">
        <v>25011.16</v>
      </c>
    </row>
    <row r="61" spans="1:6" s="296" customFormat="1">
      <c r="A61" s="640">
        <v>43734</v>
      </c>
      <c r="B61" s="424"/>
      <c r="C61" s="327"/>
      <c r="D61" s="635" t="s">
        <v>591</v>
      </c>
      <c r="E61" s="424"/>
      <c r="F61" s="551">
        <v>6250</v>
      </c>
    </row>
    <row r="62" spans="1:6" s="296" customFormat="1">
      <c r="A62" s="640">
        <v>43734</v>
      </c>
      <c r="B62" s="424"/>
      <c r="C62" s="327"/>
      <c r="D62" s="635" t="s">
        <v>592</v>
      </c>
      <c r="E62" s="424"/>
      <c r="F62" s="551">
        <v>2176.58</v>
      </c>
    </row>
    <row r="63" spans="1:6" s="296" customFormat="1">
      <c r="A63" s="640">
        <v>43734</v>
      </c>
      <c r="B63" s="424"/>
      <c r="C63" s="327"/>
      <c r="D63" s="635" t="s">
        <v>593</v>
      </c>
      <c r="E63" s="424"/>
      <c r="F63" s="551">
        <v>7003.23</v>
      </c>
    </row>
    <row r="64" spans="1:6" s="296" customFormat="1">
      <c r="A64" s="640">
        <v>43734</v>
      </c>
      <c r="B64" s="424"/>
      <c r="C64" s="327"/>
      <c r="D64" s="635" t="s">
        <v>594</v>
      </c>
      <c r="E64" s="424"/>
      <c r="F64" s="551">
        <v>12827.51</v>
      </c>
    </row>
    <row r="65" spans="1:6" s="296" customFormat="1">
      <c r="A65" s="640">
        <v>43742</v>
      </c>
      <c r="B65" s="424"/>
      <c r="C65" s="327"/>
      <c r="D65" s="635" t="s">
        <v>595</v>
      </c>
      <c r="E65" s="424"/>
      <c r="F65" s="551">
        <v>23552.46</v>
      </c>
    </row>
    <row r="66" spans="1:6" s="296" customFormat="1">
      <c r="A66" s="640">
        <v>43749</v>
      </c>
      <c r="B66" s="424"/>
      <c r="C66" s="327"/>
      <c r="D66" s="635" t="s">
        <v>596</v>
      </c>
      <c r="E66" s="424"/>
      <c r="F66" s="551">
        <v>9587.41</v>
      </c>
    </row>
    <row r="67" spans="1:6" s="296" customFormat="1">
      <c r="A67" s="640">
        <v>43753</v>
      </c>
      <c r="B67" s="424"/>
      <c r="C67" s="327"/>
      <c r="D67" s="635" t="s">
        <v>597</v>
      </c>
      <c r="E67" s="424"/>
      <c r="F67" s="551">
        <v>8175</v>
      </c>
    </row>
    <row r="68" spans="1:6" s="296" customFormat="1">
      <c r="A68" s="640">
        <v>43763</v>
      </c>
      <c r="B68" s="424"/>
      <c r="C68" s="327"/>
      <c r="D68" s="635" t="s">
        <v>598</v>
      </c>
      <c r="E68" s="424"/>
      <c r="F68" s="551">
        <v>169697.23</v>
      </c>
    </row>
    <row r="69" spans="1:6" s="296" customFormat="1">
      <c r="A69" s="640">
        <v>43782</v>
      </c>
      <c r="B69" s="424"/>
      <c r="C69" s="327"/>
      <c r="D69" s="635" t="s">
        <v>599</v>
      </c>
      <c r="E69" s="424"/>
      <c r="F69" s="551">
        <v>1681.83</v>
      </c>
    </row>
    <row r="70" spans="1:6" s="296" customFormat="1">
      <c r="A70" s="640">
        <v>43783</v>
      </c>
      <c r="B70" s="424"/>
      <c r="C70" s="327"/>
      <c r="D70" s="635" t="s">
        <v>600</v>
      </c>
      <c r="E70" s="424"/>
      <c r="F70" s="551">
        <v>16000</v>
      </c>
    </row>
    <row r="71" spans="1:6" s="296" customFormat="1">
      <c r="A71" s="640">
        <v>43790</v>
      </c>
      <c r="B71" s="424"/>
      <c r="C71" s="327"/>
      <c r="D71" s="635" t="s">
        <v>601</v>
      </c>
      <c r="E71" s="424"/>
      <c r="F71" s="551">
        <v>58877.2</v>
      </c>
    </row>
    <row r="72" spans="1:6" s="296" customFormat="1">
      <c r="A72" s="640">
        <v>43805</v>
      </c>
      <c r="B72" s="424"/>
      <c r="C72" s="327"/>
      <c r="D72" s="635" t="s">
        <v>602</v>
      </c>
      <c r="E72" s="424"/>
      <c r="F72" s="551">
        <v>1681.83</v>
      </c>
    </row>
    <row r="73" spans="1:6" s="296" customFormat="1">
      <c r="A73" s="640">
        <v>43812</v>
      </c>
      <c r="B73" s="424"/>
      <c r="C73" s="327"/>
      <c r="D73" s="635" t="s">
        <v>603</v>
      </c>
      <c r="E73" s="424"/>
      <c r="F73" s="551">
        <v>3450</v>
      </c>
    </row>
    <row r="74" spans="1:6" s="296" customFormat="1">
      <c r="A74" s="640">
        <v>43812</v>
      </c>
      <c r="B74" s="424"/>
      <c r="C74" s="327"/>
      <c r="D74" s="635" t="s">
        <v>604</v>
      </c>
      <c r="E74" s="424"/>
      <c r="F74" s="551">
        <v>44313.17</v>
      </c>
    </row>
    <row r="75" spans="1:6" s="296" customFormat="1">
      <c r="A75" s="640">
        <v>43812</v>
      </c>
      <c r="B75" s="424"/>
      <c r="C75" s="327"/>
      <c r="D75" s="635" t="s">
        <v>605</v>
      </c>
      <c r="E75" s="424"/>
      <c r="F75" s="551">
        <v>27071.360000000001</v>
      </c>
    </row>
    <row r="76" spans="1:6" s="296" customFormat="1">
      <c r="A76" s="640">
        <v>43819</v>
      </c>
      <c r="B76" s="424"/>
      <c r="C76" s="327"/>
      <c r="D76" s="635" t="s">
        <v>606</v>
      </c>
      <c r="E76" s="424"/>
      <c r="F76" s="551">
        <v>7003.23</v>
      </c>
    </row>
    <row r="77" spans="1:6" s="296" customFormat="1">
      <c r="A77" s="640">
        <v>43840</v>
      </c>
      <c r="B77" s="424"/>
      <c r="C77" s="327"/>
      <c r="D77" s="635" t="s">
        <v>607</v>
      </c>
      <c r="E77" s="424"/>
      <c r="F77" s="868">
        <v>-1681.83</v>
      </c>
    </row>
    <row r="78" spans="1:6" s="296" customFormat="1">
      <c r="A78" s="640">
        <v>43840</v>
      </c>
      <c r="B78" s="424"/>
      <c r="C78" s="327"/>
      <c r="D78" s="635" t="s">
        <v>608</v>
      </c>
      <c r="E78" s="424"/>
      <c r="F78" s="551">
        <v>2036.55</v>
      </c>
    </row>
    <row r="79" spans="1:6" s="296" customFormat="1">
      <c r="A79" s="640">
        <v>43840</v>
      </c>
      <c r="B79" s="424"/>
      <c r="C79" s="327"/>
      <c r="D79" s="635" t="s">
        <v>609</v>
      </c>
      <c r="E79" s="424"/>
      <c r="F79" s="551">
        <v>8175</v>
      </c>
    </row>
    <row r="80" spans="1:6" s="296" customFormat="1">
      <c r="A80" s="640">
        <v>43980</v>
      </c>
      <c r="B80" s="424"/>
      <c r="C80" s="327"/>
      <c r="D80" s="635" t="s">
        <v>610</v>
      </c>
      <c r="E80" s="424"/>
      <c r="F80" s="551">
        <v>8356.02</v>
      </c>
    </row>
    <row r="81" spans="1:6" s="296" customFormat="1">
      <c r="A81" s="640">
        <v>44028</v>
      </c>
      <c r="B81" s="424"/>
      <c r="C81" s="327"/>
      <c r="D81" s="635" t="s">
        <v>611</v>
      </c>
      <c r="E81" s="424"/>
      <c r="F81" s="551">
        <v>2200</v>
      </c>
    </row>
    <row r="82" spans="1:6" s="296" customFormat="1">
      <c r="A82" s="640">
        <v>44043</v>
      </c>
      <c r="B82" s="424"/>
      <c r="C82" s="327"/>
      <c r="D82" s="635" t="s">
        <v>612</v>
      </c>
      <c r="E82" s="424"/>
      <c r="F82" s="551">
        <v>2848.17</v>
      </c>
    </row>
    <row r="83" spans="1:6" s="296" customFormat="1">
      <c r="A83" s="640">
        <v>44056</v>
      </c>
      <c r="B83" s="424"/>
      <c r="C83" s="327"/>
      <c r="D83" s="635" t="s">
        <v>613</v>
      </c>
      <c r="E83" s="424"/>
      <c r="F83" s="551">
        <v>1656.01</v>
      </c>
    </row>
    <row r="84" spans="1:6" s="296" customFormat="1">
      <c r="A84" s="640">
        <v>44159</v>
      </c>
      <c r="B84" s="424"/>
      <c r="C84" s="327"/>
      <c r="D84" s="635" t="s">
        <v>614</v>
      </c>
      <c r="E84" s="424"/>
      <c r="F84" s="551">
        <v>10783</v>
      </c>
    </row>
    <row r="85" spans="1:6" s="296" customFormat="1">
      <c r="A85" s="640">
        <v>44285</v>
      </c>
      <c r="B85" s="424"/>
      <c r="C85" s="327"/>
      <c r="D85" s="635" t="s">
        <v>615</v>
      </c>
      <c r="E85" s="424"/>
      <c r="F85" s="551">
        <v>13400</v>
      </c>
    </row>
    <row r="86" spans="1:6" s="296" customFormat="1">
      <c r="A86" s="640">
        <v>44364</v>
      </c>
      <c r="B86" s="424"/>
      <c r="C86" s="327"/>
      <c r="D86" s="635" t="s">
        <v>616</v>
      </c>
      <c r="E86" s="424"/>
      <c r="F86" s="551">
        <v>22111.25</v>
      </c>
    </row>
    <row r="87" spans="1:6" s="296" customFormat="1">
      <c r="A87" s="640">
        <v>44364</v>
      </c>
      <c r="B87" s="424"/>
      <c r="C87" s="327"/>
      <c r="D87" s="635" t="s">
        <v>617</v>
      </c>
      <c r="E87" s="424"/>
      <c r="F87" s="551">
        <v>4397.8999999999996</v>
      </c>
    </row>
    <row r="88" spans="1:6" s="296" customFormat="1">
      <c r="A88" s="640">
        <v>44364</v>
      </c>
      <c r="B88" s="424"/>
      <c r="C88" s="327"/>
      <c r="D88" s="635" t="s">
        <v>617</v>
      </c>
      <c r="E88" s="424"/>
      <c r="F88" s="551">
        <v>4397.8999999999996</v>
      </c>
    </row>
    <row r="89" spans="1:6" s="296" customFormat="1">
      <c r="A89" s="640">
        <v>44364</v>
      </c>
      <c r="B89" s="424"/>
      <c r="C89" s="327"/>
      <c r="D89" s="635" t="s">
        <v>617</v>
      </c>
      <c r="E89" s="424"/>
      <c r="F89" s="551">
        <v>4397.8999999999996</v>
      </c>
    </row>
    <row r="90" spans="1:6" s="296" customFormat="1">
      <c r="A90" s="640">
        <v>44365</v>
      </c>
      <c r="B90" s="424"/>
      <c r="C90" s="327"/>
      <c r="D90" s="635" t="s">
        <v>616</v>
      </c>
      <c r="E90" s="424"/>
      <c r="F90" s="551">
        <v>33582.5</v>
      </c>
    </row>
    <row r="91" spans="1:6" s="296" customFormat="1">
      <c r="A91" s="640">
        <v>44406</v>
      </c>
      <c r="B91" s="424"/>
      <c r="C91" s="327"/>
      <c r="D91" s="635" t="s">
        <v>617</v>
      </c>
      <c r="E91" s="424"/>
      <c r="F91" s="551">
        <v>11518.32</v>
      </c>
    </row>
    <row r="92" spans="1:6" s="296" customFormat="1">
      <c r="A92" s="640">
        <v>44406</v>
      </c>
      <c r="B92" s="424"/>
      <c r="C92" s="327"/>
      <c r="D92" s="635" t="s">
        <v>617</v>
      </c>
      <c r="E92" s="424"/>
      <c r="F92" s="551">
        <v>4397.8999999999996</v>
      </c>
    </row>
    <row r="93" spans="1:6" s="296" customFormat="1">
      <c r="A93" s="640">
        <v>44406</v>
      </c>
      <c r="B93" s="424"/>
      <c r="C93" s="327"/>
      <c r="D93" s="635" t="s">
        <v>618</v>
      </c>
      <c r="E93" s="424"/>
      <c r="F93" s="551">
        <v>890.05</v>
      </c>
    </row>
    <row r="94" spans="1:6" s="296" customFormat="1">
      <c r="A94" s="640">
        <v>44408</v>
      </c>
      <c r="B94" s="424"/>
      <c r="C94" s="327"/>
      <c r="D94" s="635" t="s">
        <v>619</v>
      </c>
      <c r="E94" s="424"/>
      <c r="F94" s="551">
        <v>3500</v>
      </c>
    </row>
    <row r="95" spans="1:6" s="296" customFormat="1">
      <c r="A95" s="640">
        <v>44420</v>
      </c>
      <c r="B95" s="424"/>
      <c r="C95" s="327"/>
      <c r="D95" s="635" t="s">
        <v>618</v>
      </c>
      <c r="E95" s="424"/>
      <c r="F95" s="551">
        <v>17500</v>
      </c>
    </row>
    <row r="96" spans="1:6" s="296" customFormat="1">
      <c r="A96" s="640">
        <v>44420</v>
      </c>
      <c r="B96" s="424"/>
      <c r="C96" s="327"/>
      <c r="D96" s="635" t="s">
        <v>616</v>
      </c>
      <c r="E96" s="424"/>
      <c r="F96" s="551">
        <v>100167.18</v>
      </c>
    </row>
    <row r="97" spans="1:6" s="296" customFormat="1">
      <c r="A97" s="640">
        <v>44420</v>
      </c>
      <c r="B97" s="424"/>
      <c r="C97" s="327"/>
      <c r="D97" s="635" t="s">
        <v>620</v>
      </c>
      <c r="E97" s="424"/>
      <c r="F97" s="551">
        <v>1784</v>
      </c>
    </row>
    <row r="98" spans="1:6" s="296" customFormat="1">
      <c r="A98" s="640">
        <v>44439</v>
      </c>
      <c r="B98" s="424"/>
      <c r="C98" s="327"/>
      <c r="D98" s="635" t="s">
        <v>617</v>
      </c>
      <c r="E98" s="424"/>
      <c r="F98" s="551">
        <v>4528.79</v>
      </c>
    </row>
    <row r="99" spans="1:6" s="296" customFormat="1">
      <c r="A99" s="640">
        <v>44439</v>
      </c>
      <c r="B99" s="424"/>
      <c r="C99" s="327"/>
      <c r="D99" s="635" t="s">
        <v>617</v>
      </c>
      <c r="E99" s="424"/>
      <c r="F99" s="551">
        <v>4397.8999999999996</v>
      </c>
    </row>
    <row r="100" spans="1:6" s="296" customFormat="1">
      <c r="A100" s="640">
        <v>44439</v>
      </c>
      <c r="B100" s="424"/>
      <c r="C100" s="327"/>
      <c r="D100" s="635" t="s">
        <v>617</v>
      </c>
      <c r="E100" s="424"/>
      <c r="F100" s="551">
        <v>4397.8999999999996</v>
      </c>
    </row>
    <row r="101" spans="1:6" s="296" customFormat="1">
      <c r="A101" s="640">
        <v>44438</v>
      </c>
      <c r="B101" s="424"/>
      <c r="C101" s="327"/>
      <c r="D101" s="635" t="s">
        <v>617</v>
      </c>
      <c r="E101" s="424"/>
      <c r="F101" s="551">
        <v>1625</v>
      </c>
    </row>
    <row r="102" spans="1:6" s="296" customFormat="1">
      <c r="A102" s="640">
        <v>44438</v>
      </c>
      <c r="B102" s="424"/>
      <c r="C102" s="327"/>
      <c r="D102" s="635" t="s">
        <v>621</v>
      </c>
      <c r="E102" s="424"/>
      <c r="F102" s="551">
        <v>4472</v>
      </c>
    </row>
    <row r="103" spans="1:6" s="296" customFormat="1">
      <c r="A103" s="640">
        <v>44467</v>
      </c>
      <c r="B103" s="424"/>
      <c r="C103" s="327"/>
      <c r="D103" s="635" t="s">
        <v>616</v>
      </c>
      <c r="E103" s="424"/>
      <c r="F103" s="551">
        <v>50963.98</v>
      </c>
    </row>
    <row r="104" spans="1:6" s="296" customFormat="1">
      <c r="A104" s="640">
        <v>44476</v>
      </c>
      <c r="B104" s="424"/>
      <c r="C104" s="327"/>
      <c r="D104" s="635" t="s">
        <v>616</v>
      </c>
      <c r="E104" s="424"/>
      <c r="F104" s="551">
        <v>5456.5</v>
      </c>
    </row>
    <row r="105" spans="1:6" s="296" customFormat="1">
      <c r="A105" s="640">
        <v>44476</v>
      </c>
      <c r="B105" s="424"/>
      <c r="C105" s="327"/>
      <c r="D105" s="635" t="s">
        <v>616</v>
      </c>
      <c r="E105" s="424"/>
      <c r="F105" s="551">
        <v>23109.84</v>
      </c>
    </row>
    <row r="106" spans="1:6" s="296" customFormat="1">
      <c r="A106" s="640">
        <v>44524</v>
      </c>
      <c r="B106" s="424"/>
      <c r="C106" s="327"/>
      <c r="D106" s="635" t="s">
        <v>616</v>
      </c>
      <c r="E106" s="424"/>
      <c r="F106" s="551">
        <v>287.18</v>
      </c>
    </row>
    <row r="107" spans="1:6" s="296" customFormat="1">
      <c r="A107" s="640">
        <v>44539</v>
      </c>
      <c r="B107" s="424"/>
      <c r="C107" s="327"/>
      <c r="D107" s="635" t="s">
        <v>616</v>
      </c>
      <c r="E107" s="424"/>
      <c r="F107" s="551">
        <v>13326.83</v>
      </c>
    </row>
    <row r="108" spans="1:6" s="296" customFormat="1">
      <c r="A108" s="640">
        <v>44802</v>
      </c>
      <c r="B108" s="424"/>
      <c r="C108" s="327"/>
      <c r="D108" s="635" t="s">
        <v>622</v>
      </c>
      <c r="E108" s="424"/>
      <c r="F108" s="551">
        <v>3664.92</v>
      </c>
    </row>
    <row r="109" spans="1:6" s="296" customFormat="1">
      <c r="A109" s="640">
        <v>44802</v>
      </c>
      <c r="B109" s="424"/>
      <c r="C109" s="327"/>
      <c r="D109" s="635" t="s">
        <v>623</v>
      </c>
      <c r="E109" s="424"/>
      <c r="F109" s="551">
        <v>6911</v>
      </c>
    </row>
    <row r="110" spans="1:6" s="296" customFormat="1">
      <c r="A110" s="640">
        <v>44802</v>
      </c>
      <c r="B110" s="424"/>
      <c r="C110" s="327"/>
      <c r="D110" s="635" t="s">
        <v>623</v>
      </c>
      <c r="E110" s="424"/>
      <c r="F110" s="551">
        <v>11748.63</v>
      </c>
    </row>
    <row r="111" spans="1:6" s="296" customFormat="1">
      <c r="A111" s="640">
        <v>44802</v>
      </c>
      <c r="B111" s="424"/>
      <c r="C111" s="327"/>
      <c r="D111" s="635" t="s">
        <v>624</v>
      </c>
      <c r="E111" s="424"/>
      <c r="F111" s="551">
        <v>1905.76</v>
      </c>
    </row>
    <row r="112" spans="1:6" s="296" customFormat="1">
      <c r="A112" s="640">
        <v>44861</v>
      </c>
      <c r="B112" s="424"/>
      <c r="C112" s="327"/>
      <c r="D112" s="635" t="s">
        <v>624</v>
      </c>
      <c r="E112" s="424"/>
      <c r="F112" s="551">
        <v>6261.78</v>
      </c>
    </row>
    <row r="113" spans="1:6" s="296" customFormat="1">
      <c r="A113" s="640">
        <v>44892</v>
      </c>
      <c r="B113" s="424"/>
      <c r="C113" s="327"/>
      <c r="D113" s="635" t="s">
        <v>625</v>
      </c>
      <c r="E113" s="424"/>
      <c r="F113" s="551">
        <v>2000</v>
      </c>
    </row>
    <row r="114" spans="1:6" s="296" customFormat="1">
      <c r="A114" s="640">
        <v>37612</v>
      </c>
      <c r="B114" s="424"/>
      <c r="C114" s="327"/>
      <c r="D114" s="635" t="s">
        <v>624</v>
      </c>
      <c r="E114" s="424"/>
      <c r="F114" s="551">
        <v>2722.51</v>
      </c>
    </row>
    <row r="115" spans="1:6" s="296" customFormat="1">
      <c r="A115" s="640">
        <v>45014</v>
      </c>
      <c r="B115" s="424"/>
      <c r="C115" s="327"/>
      <c r="D115" s="635" t="s">
        <v>626</v>
      </c>
      <c r="E115" s="424"/>
      <c r="F115" s="551">
        <v>5445.02</v>
      </c>
    </row>
    <row r="116" spans="1:6" s="296" customFormat="1">
      <c r="A116" s="640">
        <v>45076</v>
      </c>
      <c r="B116" s="424"/>
      <c r="C116" s="327"/>
      <c r="D116" s="635" t="s">
        <v>624</v>
      </c>
      <c r="E116" s="424"/>
      <c r="F116" s="551">
        <v>4083.77</v>
      </c>
    </row>
    <row r="117" spans="1:6" s="296" customFormat="1">
      <c r="A117" s="707">
        <v>45107</v>
      </c>
      <c r="B117" s="424"/>
      <c r="C117" s="327"/>
      <c r="D117" s="635" t="s">
        <v>624</v>
      </c>
      <c r="E117" s="424"/>
      <c r="F117" s="551">
        <v>1361.26</v>
      </c>
    </row>
    <row r="118" spans="1:6" s="296" customFormat="1">
      <c r="A118" s="707">
        <v>45136</v>
      </c>
      <c r="D118" s="635" t="s">
        <v>624</v>
      </c>
      <c r="E118" s="424"/>
      <c r="F118" s="551">
        <v>2722.51</v>
      </c>
    </row>
    <row r="119" spans="1:6" s="296" customFormat="1">
      <c r="A119" s="707">
        <v>45197</v>
      </c>
      <c r="D119" s="635" t="s">
        <v>627</v>
      </c>
      <c r="E119" s="424"/>
      <c r="F119" s="551">
        <v>1318.33</v>
      </c>
    </row>
    <row r="120" spans="1:6" s="296" customFormat="1">
      <c r="A120" s="707">
        <v>45197</v>
      </c>
      <c r="D120" s="635" t="s">
        <v>628</v>
      </c>
      <c r="E120" s="424"/>
      <c r="F120" s="551">
        <v>5235.6000000000004</v>
      </c>
    </row>
    <row r="121" spans="1:6" s="296" customFormat="1">
      <c r="A121" s="707">
        <v>45258</v>
      </c>
      <c r="D121" s="635" t="s">
        <v>629</v>
      </c>
      <c r="E121" s="424"/>
      <c r="F121" s="551">
        <v>9925.1200000000008</v>
      </c>
    </row>
    <row r="122" spans="1:6" s="296" customFormat="1">
      <c r="A122" s="725">
        <v>45288</v>
      </c>
      <c r="D122" s="635" t="s">
        <v>630</v>
      </c>
      <c r="E122" s="424"/>
      <c r="F122" s="551">
        <v>2073.35</v>
      </c>
    </row>
    <row r="123" spans="1:6" s="296" customFormat="1">
      <c r="A123" s="725">
        <v>45288</v>
      </c>
      <c r="D123" s="635" t="s">
        <v>631</v>
      </c>
      <c r="E123" s="424"/>
      <c r="F123" s="551">
        <v>2722.51</v>
      </c>
    </row>
    <row r="124" spans="1:6" s="296" customFormat="1">
      <c r="A124" s="725">
        <v>45533</v>
      </c>
      <c r="D124" s="635" t="s">
        <v>630</v>
      </c>
      <c r="E124" s="424"/>
      <c r="F124" s="551">
        <v>570</v>
      </c>
    </row>
    <row r="125" spans="1:6" s="296" customFormat="1">
      <c r="A125" s="725">
        <v>45533</v>
      </c>
      <c r="D125" s="635" t="s">
        <v>632</v>
      </c>
      <c r="E125" s="424"/>
      <c r="F125" s="551">
        <v>28988.3</v>
      </c>
    </row>
    <row r="126" spans="1:6" s="296" customFormat="1">
      <c r="A126" s="725">
        <v>45562</v>
      </c>
      <c r="D126" s="635" t="s">
        <v>633</v>
      </c>
      <c r="E126" s="424"/>
      <c r="F126" s="551">
        <v>624</v>
      </c>
    </row>
    <row r="127" spans="1:6" s="296" customFormat="1">
      <c r="A127" s="725">
        <v>45562</v>
      </c>
      <c r="D127" s="635" t="s">
        <v>634</v>
      </c>
      <c r="E127" s="424"/>
      <c r="F127" s="551">
        <v>1664.91</v>
      </c>
    </row>
    <row r="128" spans="1:6" s="296" customFormat="1">
      <c r="A128" s="725">
        <v>45562</v>
      </c>
      <c r="D128" s="635" t="s">
        <v>635</v>
      </c>
      <c r="E128" s="424"/>
      <c r="F128" s="551">
        <v>1662.3</v>
      </c>
    </row>
    <row r="129" spans="1:8" s="296" customFormat="1">
      <c r="A129" s="725">
        <v>45622</v>
      </c>
      <c r="D129" s="635" t="s">
        <v>636</v>
      </c>
      <c r="E129" s="424"/>
      <c r="F129" s="551">
        <v>86963</v>
      </c>
    </row>
    <row r="130" spans="1:8" s="296" customFormat="1">
      <c r="A130" s="725">
        <v>45622</v>
      </c>
      <c r="D130" s="635" t="s">
        <v>637</v>
      </c>
      <c r="E130" s="424"/>
      <c r="F130" s="551">
        <v>10420.200000000001</v>
      </c>
    </row>
    <row r="131" spans="1:8" s="296" customFormat="1">
      <c r="A131" s="725">
        <v>45622</v>
      </c>
      <c r="D131" s="635" t="s">
        <v>638</v>
      </c>
      <c r="E131" s="424"/>
      <c r="F131" s="551">
        <v>28986.400000000001</v>
      </c>
    </row>
    <row r="132" spans="1:8" s="296" customFormat="1">
      <c r="A132" s="725">
        <v>45645</v>
      </c>
      <c r="D132" s="635" t="s">
        <v>639</v>
      </c>
      <c r="E132" s="424"/>
      <c r="F132" s="551">
        <v>7628.3</v>
      </c>
    </row>
    <row r="133" spans="1:8" s="296" customFormat="1">
      <c r="A133" s="725">
        <v>45291</v>
      </c>
      <c r="D133" s="635" t="s">
        <v>467</v>
      </c>
      <c r="E133" s="424"/>
      <c r="F133" s="551">
        <v>-13612.56</v>
      </c>
    </row>
    <row r="134" spans="1:8" s="296" customFormat="1">
      <c r="A134" s="725">
        <v>45291</v>
      </c>
      <c r="D134" s="635" t="s">
        <v>467</v>
      </c>
      <c r="E134" s="424"/>
      <c r="F134" s="551">
        <v>-1318.33</v>
      </c>
      <c r="G134" s="821"/>
    </row>
    <row r="135" spans="1:8" s="296" customFormat="1">
      <c r="A135" s="725">
        <v>45687</v>
      </c>
      <c r="D135" s="635" t="s">
        <v>641</v>
      </c>
      <c r="E135" s="424"/>
      <c r="F135" s="551">
        <v>112660</v>
      </c>
    </row>
    <row r="136" spans="1:8" s="296" customFormat="1">
      <c r="A136" s="725">
        <v>45765</v>
      </c>
      <c r="D136" s="635" t="s">
        <v>642</v>
      </c>
      <c r="E136" s="424"/>
      <c r="F136" s="551">
        <v>5308.53</v>
      </c>
    </row>
    <row r="137" spans="1:8" s="296" customFormat="1">
      <c r="A137" s="725">
        <v>45657</v>
      </c>
      <c r="D137" s="635" t="s">
        <v>1415</v>
      </c>
      <c r="E137" s="424"/>
      <c r="F137" s="551">
        <v>-22568.81</v>
      </c>
    </row>
    <row r="138" spans="1:8" s="296" customFormat="1">
      <c r="A138" s="725">
        <v>46014</v>
      </c>
      <c r="D138" s="635" t="s">
        <v>1442</v>
      </c>
      <c r="E138" s="424"/>
      <c r="F138" s="551">
        <v>7078.11</v>
      </c>
    </row>
    <row r="139" spans="1:8" s="296" customFormat="1">
      <c r="A139" s="725">
        <v>46141</v>
      </c>
      <c r="D139" s="635" t="s">
        <v>1509</v>
      </c>
      <c r="E139" s="424"/>
      <c r="F139" s="551">
        <v>58984.23</v>
      </c>
    </row>
    <row r="140" spans="1:8" s="296" customFormat="1">
      <c r="A140" s="725"/>
      <c r="D140" s="635"/>
      <c r="E140" s="424"/>
      <c r="F140" s="551"/>
    </row>
    <row r="141" spans="1:8" s="296" customFormat="1" ht="14.1" customHeight="1">
      <c r="A141" s="420"/>
      <c r="B141" s="424"/>
      <c r="C141" s="327"/>
      <c r="D141" s="635"/>
      <c r="E141" s="424"/>
      <c r="F141" s="638">
        <f>SUM(F22:F139)</f>
        <v>2052989.6499999997</v>
      </c>
      <c r="H141" s="455"/>
    </row>
    <row r="142" spans="1:8" s="296" customFormat="1">
      <c r="A142" s="420"/>
      <c r="B142" s="424"/>
      <c r="C142" s="327"/>
      <c r="D142" s="635"/>
      <c r="E142" s="424"/>
      <c r="F142" s="426"/>
    </row>
    <row r="143" spans="1:8" s="296" customFormat="1">
      <c r="A143" s="420"/>
      <c r="B143" s="424"/>
      <c r="C143" s="327"/>
      <c r="D143" s="635"/>
      <c r="E143" s="424"/>
      <c r="F143" s="426"/>
      <c r="H143" s="299"/>
    </row>
    <row r="144" spans="1:8" s="296" customFormat="1">
      <c r="A144" s="420"/>
      <c r="B144" s="424"/>
      <c r="C144" s="424">
        <v>15100</v>
      </c>
      <c r="D144" s="425" t="s">
        <v>643</v>
      </c>
      <c r="E144" s="424"/>
      <c r="F144" s="426"/>
    </row>
    <row r="145" spans="1:8" s="296" customFormat="1">
      <c r="A145" s="640">
        <v>44347</v>
      </c>
      <c r="B145" s="424"/>
      <c r="C145" s="327"/>
      <c r="D145" s="635" t="s">
        <v>644</v>
      </c>
      <c r="E145" s="634" t="s">
        <v>645</v>
      </c>
      <c r="F145" s="551">
        <v>35000</v>
      </c>
    </row>
    <row r="146" spans="1:8" s="296" customFormat="1">
      <c r="A146" s="640">
        <v>45258</v>
      </c>
      <c r="B146" s="424"/>
      <c r="C146" s="327"/>
      <c r="D146" s="333" t="s">
        <v>527</v>
      </c>
      <c r="E146" s="634" t="s">
        <v>646</v>
      </c>
      <c r="F146" s="551">
        <v>10740</v>
      </c>
    </row>
    <row r="147" spans="1:8" s="296" customFormat="1">
      <c r="A147" s="640">
        <v>45562</v>
      </c>
      <c r="B147" s="424"/>
      <c r="C147" s="327"/>
      <c r="D147" s="333" t="s">
        <v>647</v>
      </c>
      <c r="E147" s="634" t="s">
        <v>648</v>
      </c>
      <c r="F147" s="551">
        <v>804</v>
      </c>
    </row>
    <row r="148" spans="1:8" s="296" customFormat="1">
      <c r="A148" s="640">
        <v>45562</v>
      </c>
      <c r="B148" s="424"/>
      <c r="C148" s="327"/>
      <c r="D148" s="333" t="s">
        <v>649</v>
      </c>
      <c r="E148" s="634" t="s">
        <v>648</v>
      </c>
      <c r="F148" s="551">
        <v>69294.33</v>
      </c>
    </row>
    <row r="149" spans="1:8" s="296" customFormat="1">
      <c r="A149" s="640">
        <v>45562</v>
      </c>
      <c r="B149" s="424"/>
      <c r="C149" s="327"/>
      <c r="D149" s="333" t="s">
        <v>650</v>
      </c>
      <c r="E149" s="634" t="s">
        <v>648</v>
      </c>
      <c r="F149" s="551">
        <v>98991.9</v>
      </c>
    </row>
    <row r="150" spans="1:8" s="296" customFormat="1">
      <c r="A150" s="640">
        <v>45562</v>
      </c>
      <c r="B150" s="424"/>
      <c r="C150" s="327"/>
      <c r="D150" s="333" t="s">
        <v>651</v>
      </c>
      <c r="E150" s="634" t="s">
        <v>648</v>
      </c>
      <c r="F150" s="551">
        <v>29697.57</v>
      </c>
      <c r="G150" s="821"/>
    </row>
    <row r="151" spans="1:8" s="296" customFormat="1">
      <c r="A151" s="640">
        <v>45594</v>
      </c>
      <c r="B151" s="424"/>
      <c r="C151" s="327"/>
      <c r="D151" s="333" t="s">
        <v>653</v>
      </c>
      <c r="E151" s="634" t="s">
        <v>648</v>
      </c>
      <c r="F151" s="551">
        <v>125000</v>
      </c>
    </row>
    <row r="152" spans="1:8" s="296" customFormat="1">
      <c r="A152" s="640">
        <v>45657</v>
      </c>
      <c r="B152" s="424"/>
      <c r="C152" s="327"/>
      <c r="D152" s="333" t="s">
        <v>1415</v>
      </c>
      <c r="E152" s="634"/>
      <c r="F152" s="551">
        <v>-804</v>
      </c>
    </row>
    <row r="153" spans="1:8" s="296" customFormat="1">
      <c r="A153" s="640">
        <v>45657</v>
      </c>
      <c r="B153" s="424"/>
      <c r="C153" s="327"/>
      <c r="D153" s="333" t="s">
        <v>1416</v>
      </c>
      <c r="E153" s="634"/>
      <c r="F153" s="551">
        <v>-131389</v>
      </c>
    </row>
    <row r="154" spans="1:8" s="296" customFormat="1">
      <c r="A154" s="640"/>
      <c r="B154" s="634"/>
      <c r="C154" s="667"/>
      <c r="D154" s="635"/>
      <c r="E154" s="424"/>
      <c r="F154" s="638">
        <f>SUM(F145:F153)</f>
        <v>237334.8</v>
      </c>
      <c r="G154" s="705"/>
      <c r="H154" s="455"/>
    </row>
    <row r="155" spans="1:8" s="296" customFormat="1">
      <c r="A155" s="640"/>
      <c r="B155" s="634"/>
      <c r="C155" s="667"/>
      <c r="D155" s="635"/>
      <c r="E155" s="424"/>
      <c r="F155" s="426"/>
    </row>
    <row r="156" spans="1:8" s="296" customFormat="1">
      <c r="A156" s="420"/>
      <c r="B156" s="424"/>
      <c r="C156" s="327"/>
      <c r="D156" s="425"/>
      <c r="E156" s="424"/>
      <c r="F156" s="426"/>
    </row>
    <row r="157" spans="1:8" s="296" customFormat="1">
      <c r="A157" s="420">
        <v>43190</v>
      </c>
      <c r="B157" s="424"/>
      <c r="C157" s="424">
        <v>15200</v>
      </c>
      <c r="D157" s="425" t="s">
        <v>654</v>
      </c>
      <c r="E157" s="424"/>
      <c r="F157" s="551">
        <v>36458</v>
      </c>
    </row>
    <row r="158" spans="1:8" s="296" customFormat="1">
      <c r="A158" s="640">
        <v>43308</v>
      </c>
      <c r="B158" s="424"/>
      <c r="C158" s="327"/>
      <c r="D158" s="635" t="s">
        <v>655</v>
      </c>
      <c r="E158" s="424"/>
      <c r="F158" s="551">
        <v>3150.5</v>
      </c>
    </row>
    <row r="159" spans="1:8" s="296" customFormat="1">
      <c r="A159" s="640">
        <v>43308</v>
      </c>
      <c r="B159" s="424"/>
      <c r="C159" s="327"/>
      <c r="D159" s="635" t="s">
        <v>656</v>
      </c>
      <c r="E159" s="424"/>
      <c r="F159" s="551">
        <v>6301</v>
      </c>
    </row>
    <row r="160" spans="1:8" s="296" customFormat="1">
      <c r="A160" s="640">
        <v>43350</v>
      </c>
      <c r="B160" s="424"/>
      <c r="C160" s="327"/>
      <c r="D160" s="635" t="s">
        <v>657</v>
      </c>
      <c r="E160" s="424"/>
      <c r="F160" s="551">
        <v>578.12</v>
      </c>
    </row>
    <row r="161" spans="1:8" s="296" customFormat="1">
      <c r="A161" s="640">
        <v>43357</v>
      </c>
      <c r="B161" s="424"/>
      <c r="C161" s="327"/>
      <c r="D161" s="635" t="s">
        <v>658</v>
      </c>
      <c r="E161" s="424"/>
      <c r="F161" s="551">
        <v>1927.07</v>
      </c>
    </row>
    <row r="162" spans="1:8" s="296" customFormat="1">
      <c r="A162" s="640">
        <v>43465</v>
      </c>
      <c r="B162" s="424"/>
      <c r="C162" s="327"/>
      <c r="D162" s="635" t="s">
        <v>558</v>
      </c>
      <c r="E162" s="424"/>
      <c r="F162" s="868">
        <v>-48414.69</v>
      </c>
    </row>
    <row r="163" spans="1:8" s="296" customFormat="1">
      <c r="A163" s="640">
        <v>44651</v>
      </c>
      <c r="B163" s="424"/>
      <c r="C163" s="327"/>
      <c r="D163" s="635" t="s">
        <v>659</v>
      </c>
      <c r="E163" s="424"/>
      <c r="F163" s="868">
        <v>8320</v>
      </c>
    </row>
    <row r="164" spans="1:8" s="296" customFormat="1">
      <c r="A164" s="640">
        <v>44651</v>
      </c>
      <c r="B164" s="424"/>
      <c r="C164" s="327"/>
      <c r="D164" s="635" t="s">
        <v>660</v>
      </c>
      <c r="E164" s="424"/>
      <c r="F164" s="868">
        <v>3328</v>
      </c>
    </row>
    <row r="165" spans="1:8" s="296" customFormat="1">
      <c r="A165" s="640">
        <v>44926</v>
      </c>
      <c r="B165" s="424"/>
      <c r="C165" s="327"/>
      <c r="D165" s="635" t="s">
        <v>661</v>
      </c>
      <c r="E165" s="424"/>
      <c r="F165" s="868">
        <v>-11648</v>
      </c>
    </row>
    <row r="166" spans="1:8" s="296" customFormat="1">
      <c r="A166" s="420"/>
      <c r="B166" s="424"/>
      <c r="C166" s="327"/>
      <c r="D166" s="635"/>
      <c r="E166" s="424"/>
      <c r="F166" s="638">
        <f>SUM(F157:F165)</f>
        <v>0</v>
      </c>
    </row>
    <row r="167" spans="1:8" s="296" customFormat="1">
      <c r="A167" s="420"/>
      <c r="B167" s="424"/>
      <c r="C167" s="327"/>
      <c r="D167" s="635"/>
      <c r="E167" s="424"/>
      <c r="F167" s="426"/>
    </row>
    <row r="168" spans="1:8" s="296" customFormat="1">
      <c r="A168" s="420"/>
      <c r="B168" s="424"/>
      <c r="C168" s="327">
        <v>15400</v>
      </c>
      <c r="D168" s="425" t="s">
        <v>1360</v>
      </c>
      <c r="E168" s="424"/>
      <c r="F168" s="426"/>
    </row>
    <row r="169" spans="1:8" s="296" customFormat="1">
      <c r="A169" s="640">
        <v>46049</v>
      </c>
      <c r="B169" s="424"/>
      <c r="C169" s="327"/>
      <c r="D169" s="635" t="s">
        <v>1541</v>
      </c>
      <c r="E169" s="424"/>
      <c r="F169" s="426">
        <v>11648</v>
      </c>
    </row>
    <row r="170" spans="1:8" s="296" customFormat="1">
      <c r="A170" s="420"/>
      <c r="B170" s="424"/>
      <c r="C170" s="327"/>
      <c r="D170" s="635"/>
      <c r="E170" s="424"/>
      <c r="F170" s="638">
        <f>F169</f>
        <v>11648</v>
      </c>
    </row>
    <row r="171" spans="1:8" s="296" customFormat="1">
      <c r="A171" s="420"/>
      <c r="B171" s="424"/>
      <c r="C171" s="327"/>
      <c r="D171" s="635"/>
      <c r="E171" s="424"/>
      <c r="F171" s="426"/>
    </row>
    <row r="172" spans="1:8" s="296" customFormat="1">
      <c r="A172" s="420"/>
      <c r="B172" s="424"/>
      <c r="C172" s="424">
        <v>15500</v>
      </c>
      <c r="D172" s="425" t="s">
        <v>662</v>
      </c>
      <c r="E172" s="424"/>
      <c r="F172" s="426"/>
      <c r="G172" s="821"/>
    </row>
    <row r="173" spans="1:8" s="296" customFormat="1">
      <c r="A173" s="640">
        <v>43456</v>
      </c>
      <c r="B173" s="424"/>
      <c r="C173" s="327"/>
      <c r="D173" s="635" t="s">
        <v>664</v>
      </c>
      <c r="E173" s="424"/>
      <c r="F173" s="551">
        <v>2200</v>
      </c>
    </row>
    <row r="174" spans="1:8" s="296" customFormat="1">
      <c r="A174" s="420"/>
      <c r="B174" s="424"/>
      <c r="C174" s="667"/>
      <c r="D174" s="635"/>
      <c r="E174" s="424"/>
      <c r="F174" s="638">
        <f>SUM(F173)</f>
        <v>2200</v>
      </c>
      <c r="G174" s="705"/>
      <c r="H174" s="455"/>
    </row>
    <row r="175" spans="1:8" s="296" customFormat="1">
      <c r="A175" s="420"/>
      <c r="B175" s="424"/>
      <c r="C175" s="667"/>
      <c r="D175" s="635"/>
      <c r="E175" s="424"/>
      <c r="F175" s="426"/>
    </row>
    <row r="176" spans="1:8" s="296" customFormat="1">
      <c r="A176" s="420"/>
      <c r="B176" s="424"/>
      <c r="C176" s="667"/>
      <c r="D176" s="635" t="s">
        <v>22</v>
      </c>
      <c r="E176" s="424"/>
      <c r="F176" s="426"/>
    </row>
    <row r="177" spans="1:6" s="296" customFormat="1">
      <c r="A177" s="420"/>
      <c r="B177" s="424"/>
      <c r="C177" s="424">
        <v>16500</v>
      </c>
      <c r="D177" s="425" t="s">
        <v>665</v>
      </c>
      <c r="E177" s="424"/>
      <c r="F177" s="426"/>
    </row>
    <row r="178" spans="1:6" s="296" customFormat="1">
      <c r="A178" s="640">
        <v>43783</v>
      </c>
      <c r="B178" s="424"/>
      <c r="C178" s="327"/>
      <c r="D178" s="635" t="s">
        <v>666</v>
      </c>
      <c r="E178" s="634" t="s">
        <v>667</v>
      </c>
      <c r="F178" s="551">
        <v>1181.25</v>
      </c>
    </row>
    <row r="179" spans="1:6" s="296" customFormat="1">
      <c r="A179" s="640">
        <v>44133</v>
      </c>
      <c r="B179" s="424"/>
      <c r="C179" s="327"/>
      <c r="D179" s="635" t="s">
        <v>668</v>
      </c>
      <c r="E179" s="634" t="s">
        <v>645</v>
      </c>
      <c r="F179" s="551">
        <v>9744.92</v>
      </c>
    </row>
    <row r="180" spans="1:6" s="296" customFormat="1">
      <c r="A180" s="640">
        <v>44225</v>
      </c>
      <c r="B180" s="424"/>
      <c r="C180" s="327"/>
      <c r="D180" s="635" t="s">
        <v>669</v>
      </c>
      <c r="E180" s="634"/>
      <c r="F180" s="551">
        <v>12719.43</v>
      </c>
    </row>
    <row r="181" spans="1:6" s="296" customFormat="1">
      <c r="A181" s="640">
        <v>44225</v>
      </c>
      <c r="B181" s="424"/>
      <c r="C181" s="327"/>
      <c r="D181" s="635" t="s">
        <v>670</v>
      </c>
      <c r="E181" s="634" t="s">
        <v>646</v>
      </c>
      <c r="F181" s="551">
        <v>11216.63</v>
      </c>
    </row>
    <row r="182" spans="1:6" s="296" customFormat="1">
      <c r="A182" s="640">
        <v>44340</v>
      </c>
      <c r="B182" s="424"/>
      <c r="C182" s="327"/>
      <c r="D182" s="635" t="s">
        <v>671</v>
      </c>
      <c r="E182" s="634" t="s">
        <v>672</v>
      </c>
      <c r="F182" s="551">
        <v>681.12</v>
      </c>
    </row>
    <row r="183" spans="1:6" s="296" customFormat="1">
      <c r="A183" s="640">
        <v>44523</v>
      </c>
      <c r="B183" s="424"/>
      <c r="C183" s="327"/>
      <c r="D183" s="635" t="s">
        <v>673</v>
      </c>
      <c r="E183" s="634" t="s">
        <v>674</v>
      </c>
      <c r="F183" s="551">
        <v>6671.81</v>
      </c>
    </row>
    <row r="184" spans="1:6" s="296" customFormat="1">
      <c r="A184" s="640">
        <v>44645</v>
      </c>
      <c r="B184" s="424"/>
      <c r="C184" s="327"/>
      <c r="D184" s="635" t="s">
        <v>675</v>
      </c>
      <c r="E184" s="634" t="s">
        <v>672</v>
      </c>
      <c r="F184" s="551">
        <v>2768.34</v>
      </c>
    </row>
    <row r="185" spans="1:6" s="296" customFormat="1">
      <c r="A185" s="640">
        <v>44720</v>
      </c>
      <c r="B185" s="424"/>
      <c r="C185" s="327"/>
      <c r="D185" s="635" t="s">
        <v>676</v>
      </c>
      <c r="E185" s="634" t="s">
        <v>648</v>
      </c>
      <c r="F185" s="551">
        <v>2096.94</v>
      </c>
    </row>
    <row r="186" spans="1:6" s="296" customFormat="1">
      <c r="A186" s="640">
        <v>44720</v>
      </c>
      <c r="B186" s="424"/>
      <c r="C186" s="327"/>
      <c r="D186" s="635" t="s">
        <v>677</v>
      </c>
      <c r="E186" s="634" t="s">
        <v>678</v>
      </c>
      <c r="F186" s="551">
        <v>1610.4</v>
      </c>
    </row>
    <row r="187" spans="1:6" s="296" customFormat="1">
      <c r="A187" s="640">
        <v>44720</v>
      </c>
      <c r="B187" s="424"/>
      <c r="C187" s="327"/>
      <c r="D187" s="635" t="s">
        <v>679</v>
      </c>
      <c r="E187" s="777" t="s">
        <v>680</v>
      </c>
      <c r="F187" s="551">
        <v>1592.74</v>
      </c>
    </row>
    <row r="188" spans="1:6" s="296" customFormat="1">
      <c r="A188" s="640">
        <v>44770</v>
      </c>
      <c r="B188" s="424"/>
      <c r="C188" s="327"/>
      <c r="D188" s="635" t="s">
        <v>681</v>
      </c>
      <c r="E188" s="634" t="s">
        <v>646</v>
      </c>
      <c r="F188" s="551">
        <v>11216.62</v>
      </c>
    </row>
    <row r="189" spans="1:6" s="296" customFormat="1">
      <c r="A189" s="640">
        <v>44855</v>
      </c>
      <c r="B189" s="424"/>
      <c r="C189" s="327"/>
      <c r="D189" s="635" t="s">
        <v>682</v>
      </c>
      <c r="E189" s="634" t="s">
        <v>648</v>
      </c>
      <c r="F189" s="551">
        <v>23672.880000000001</v>
      </c>
    </row>
    <row r="190" spans="1:6" s="296" customFormat="1">
      <c r="A190" s="640">
        <v>44855</v>
      </c>
      <c r="B190" s="424"/>
      <c r="C190" s="327"/>
      <c r="D190" s="635" t="s">
        <v>683</v>
      </c>
      <c r="E190" s="634" t="s">
        <v>648</v>
      </c>
      <c r="F190" s="551">
        <v>9334.08</v>
      </c>
    </row>
    <row r="191" spans="1:6" s="296" customFormat="1">
      <c r="A191" s="640">
        <v>45258</v>
      </c>
      <c r="B191" s="424"/>
      <c r="C191" s="327"/>
      <c r="D191" s="333" t="s">
        <v>684</v>
      </c>
      <c r="E191" s="634" t="s">
        <v>685</v>
      </c>
      <c r="F191" s="551">
        <v>1872.36</v>
      </c>
    </row>
    <row r="192" spans="1:6" s="296" customFormat="1">
      <c r="A192" s="640">
        <v>45378</v>
      </c>
      <c r="B192" s="424"/>
      <c r="C192" s="327"/>
      <c r="D192" s="635" t="s">
        <v>686</v>
      </c>
      <c r="E192" s="634" t="s">
        <v>672</v>
      </c>
      <c r="F192" s="551">
        <v>1261.45</v>
      </c>
    </row>
    <row r="193" spans="1:8" s="296" customFormat="1">
      <c r="A193" s="640">
        <v>45378</v>
      </c>
      <c r="B193" s="424"/>
      <c r="C193" s="327"/>
      <c r="D193" s="635" t="s">
        <v>687</v>
      </c>
      <c r="E193" s="634" t="s">
        <v>688</v>
      </c>
      <c r="F193" s="551">
        <v>1508</v>
      </c>
    </row>
    <row r="194" spans="1:8" s="296" customFormat="1">
      <c r="A194" s="640">
        <v>45442</v>
      </c>
      <c r="B194" s="424"/>
      <c r="C194" s="327"/>
      <c r="D194" s="635" t="s">
        <v>689</v>
      </c>
      <c r="E194" s="634" t="s">
        <v>667</v>
      </c>
      <c r="F194" s="551">
        <v>2491.84</v>
      </c>
    </row>
    <row r="195" spans="1:8" s="296" customFormat="1">
      <c r="A195" s="640">
        <v>45533</v>
      </c>
      <c r="B195" s="424"/>
      <c r="C195" s="327"/>
      <c r="D195" s="635" t="s">
        <v>690</v>
      </c>
      <c r="E195" s="634" t="s">
        <v>645</v>
      </c>
      <c r="F195" s="551">
        <v>2415.7199999999998</v>
      </c>
      <c r="G195" s="821"/>
    </row>
    <row r="196" spans="1:8" s="296" customFormat="1">
      <c r="A196" s="707">
        <v>45960</v>
      </c>
      <c r="B196" s="424"/>
      <c r="C196" s="327"/>
      <c r="D196" s="635" t="s">
        <v>1413</v>
      </c>
      <c r="E196" s="634" t="s">
        <v>1414</v>
      </c>
      <c r="F196" s="551">
        <v>17028.55</v>
      </c>
      <c r="G196" s="821"/>
    </row>
    <row r="197" spans="1:8" s="296" customFormat="1">
      <c r="A197" s="707" t="s">
        <v>1425</v>
      </c>
      <c r="B197" s="424"/>
      <c r="C197" s="327"/>
      <c r="D197" s="1060" t="s">
        <v>1426</v>
      </c>
      <c r="E197" s="634" t="s">
        <v>1427</v>
      </c>
      <c r="F197" s="551">
        <v>92878.96</v>
      </c>
    </row>
    <row r="198" spans="1:8" s="296" customFormat="1">
      <c r="A198" s="707">
        <v>46014</v>
      </c>
      <c r="B198" s="424"/>
      <c r="C198" s="327"/>
      <c r="D198" s="1060" t="s">
        <v>1443</v>
      </c>
      <c r="E198" s="634" t="s">
        <v>1444</v>
      </c>
      <c r="F198" s="551">
        <v>21600</v>
      </c>
    </row>
    <row r="199" spans="1:8" s="296" customFormat="1">
      <c r="A199" s="707">
        <v>46101</v>
      </c>
      <c r="B199" s="424"/>
      <c r="C199" s="327"/>
      <c r="D199" s="1060" t="s">
        <v>1482</v>
      </c>
      <c r="E199" s="634" t="s">
        <v>1483</v>
      </c>
      <c r="F199" s="551">
        <v>3480.51</v>
      </c>
    </row>
    <row r="200" spans="1:8" s="296" customFormat="1">
      <c r="A200" s="707"/>
      <c r="B200" s="424"/>
      <c r="C200" s="327"/>
      <c r="D200" s="1060"/>
      <c r="E200" s="634"/>
      <c r="F200" s="551"/>
    </row>
    <row r="201" spans="1:8" s="296" customFormat="1">
      <c r="A201" s="420"/>
      <c r="B201" s="424"/>
      <c r="C201" s="667"/>
      <c r="D201" s="635"/>
      <c r="E201" s="424"/>
      <c r="F201" s="638">
        <f>SUM(F178:F199)</f>
        <v>239044.55000000002</v>
      </c>
      <c r="G201" s="705"/>
      <c r="H201" s="455"/>
    </row>
    <row r="202" spans="1:8" s="296" customFormat="1">
      <c r="A202" s="420"/>
      <c r="B202" s="424"/>
      <c r="C202" s="667"/>
      <c r="D202" s="635"/>
      <c r="E202" s="424"/>
      <c r="F202" s="426"/>
    </row>
    <row r="203" spans="1:8" s="296" customFormat="1">
      <c r="A203" s="420"/>
      <c r="B203" s="424"/>
      <c r="C203" s="424">
        <v>16700</v>
      </c>
      <c r="D203" s="425" t="s">
        <v>692</v>
      </c>
      <c r="E203" s="424"/>
      <c r="F203" s="426"/>
    </row>
    <row r="204" spans="1:8" s="296" customFormat="1">
      <c r="A204" s="420">
        <v>45161</v>
      </c>
      <c r="B204" s="424"/>
      <c r="C204" s="667"/>
      <c r="D204" s="635" t="s">
        <v>693</v>
      </c>
      <c r="E204" s="424"/>
      <c r="F204" s="426">
        <v>23600</v>
      </c>
    </row>
    <row r="205" spans="1:8" s="296" customFormat="1">
      <c r="A205" s="420">
        <v>45539</v>
      </c>
      <c r="B205" s="424"/>
      <c r="D205" s="635" t="s">
        <v>694</v>
      </c>
      <c r="E205" s="424"/>
      <c r="F205" s="930">
        <v>140000</v>
      </c>
    </row>
    <row r="206" spans="1:8" s="296" customFormat="1">
      <c r="A206" s="420">
        <v>45539</v>
      </c>
      <c r="B206" s="424"/>
      <c r="C206" s="667"/>
      <c r="D206" s="635" t="s">
        <v>695</v>
      </c>
      <c r="E206" s="424"/>
      <c r="F206" s="930">
        <v>77996.899999999994</v>
      </c>
    </row>
    <row r="207" spans="1:8" s="296" customFormat="1">
      <c r="A207" s="420">
        <v>45539</v>
      </c>
      <c r="B207" s="424"/>
      <c r="C207" s="667"/>
      <c r="D207" s="635" t="s">
        <v>696</v>
      </c>
      <c r="E207" s="424"/>
      <c r="F207" s="930">
        <v>113579.93</v>
      </c>
      <c r="G207" s="821"/>
    </row>
    <row r="208" spans="1:8" s="296" customFormat="1">
      <c r="A208" s="420"/>
      <c r="B208" s="424"/>
      <c r="C208" s="667"/>
      <c r="D208" s="635"/>
      <c r="E208" s="424"/>
      <c r="F208" s="426"/>
    </row>
    <row r="209" spans="1:8" s="296" customFormat="1">
      <c r="A209" s="420"/>
      <c r="B209" s="424"/>
      <c r="C209" s="667"/>
      <c r="D209" s="635"/>
      <c r="E209" s="424"/>
      <c r="F209" s="638">
        <f>SUM(F204:F207)</f>
        <v>355176.82999999996</v>
      </c>
      <c r="G209" s="705"/>
      <c r="H209" s="455"/>
    </row>
    <row r="210" spans="1:8" s="296" customFormat="1">
      <c r="A210" s="423"/>
      <c r="B210" s="424"/>
      <c r="C210" s="327"/>
      <c r="D210" s="425"/>
      <c r="E210" s="424"/>
      <c r="F210" s="426"/>
    </row>
    <row r="211" spans="1:8" s="296" customFormat="1">
      <c r="A211" s="420">
        <v>42978</v>
      </c>
      <c r="B211" s="424"/>
      <c r="C211" s="424">
        <v>17000</v>
      </c>
      <c r="D211" s="424" t="s">
        <v>258</v>
      </c>
      <c r="E211" s="424"/>
      <c r="F211" s="551">
        <v>263681.19</v>
      </c>
    </row>
    <row r="212" spans="1:8" s="296" customFormat="1">
      <c r="A212" s="639">
        <v>43100</v>
      </c>
      <c r="B212" s="634"/>
      <c r="C212" s="634"/>
      <c r="D212" s="634" t="s">
        <v>548</v>
      </c>
      <c r="E212" s="634"/>
      <c r="F212" s="867">
        <v>-263681.19</v>
      </c>
    </row>
    <row r="213" spans="1:8" s="296" customFormat="1">
      <c r="A213" s="640"/>
      <c r="B213" s="634"/>
      <c r="C213" s="634"/>
      <c r="D213" s="634"/>
      <c r="E213" s="634"/>
      <c r="F213" s="869">
        <f>SUM(F211:F212)</f>
        <v>0</v>
      </c>
    </row>
    <row r="214" spans="1:8" s="296" customFormat="1">
      <c r="A214" s="640"/>
      <c r="B214" s="634"/>
      <c r="C214" s="634"/>
      <c r="D214" s="634"/>
      <c r="E214" s="634"/>
      <c r="F214" s="869"/>
    </row>
    <row r="215" spans="1:8" s="296" customFormat="1">
      <c r="A215" s="420">
        <v>42978</v>
      </c>
      <c r="B215" s="424"/>
      <c r="C215" s="424">
        <v>17600</v>
      </c>
      <c r="D215" s="424" t="s">
        <v>698</v>
      </c>
      <c r="E215" s="424"/>
      <c r="F215" s="869">
        <v>130700.02</v>
      </c>
    </row>
    <row r="216" spans="1:8" s="296" customFormat="1">
      <c r="A216" s="639">
        <v>43100</v>
      </c>
      <c r="B216" s="634"/>
      <c r="C216" s="634"/>
      <c r="D216" s="634" t="s">
        <v>548</v>
      </c>
      <c r="E216" s="424"/>
      <c r="F216" s="869">
        <v>278062.78999999998</v>
      </c>
    </row>
    <row r="217" spans="1:8" s="296" customFormat="1">
      <c r="A217" s="639">
        <v>45565</v>
      </c>
      <c r="B217" s="634"/>
      <c r="C217" s="634"/>
      <c r="D217" s="634" t="s">
        <v>699</v>
      </c>
      <c r="E217" s="424"/>
      <c r="F217" s="869">
        <v>-408762.81</v>
      </c>
    </row>
    <row r="218" spans="1:8" s="296" customFormat="1">
      <c r="A218" s="639">
        <v>45657</v>
      </c>
      <c r="B218" s="634"/>
      <c r="C218" s="634"/>
      <c r="D218" s="634" t="s">
        <v>1417</v>
      </c>
      <c r="E218" s="424"/>
      <c r="F218" s="869">
        <v>442910.74</v>
      </c>
    </row>
    <row r="219" spans="1:8" s="296" customFormat="1">
      <c r="A219" s="420"/>
      <c r="B219" s="424"/>
      <c r="C219" s="424"/>
      <c r="D219" s="424"/>
      <c r="E219" s="424"/>
      <c r="F219" s="1113">
        <f>SUM(F215:F218)</f>
        <v>442910.74</v>
      </c>
    </row>
    <row r="220" spans="1:8" s="296" customFormat="1">
      <c r="A220" s="302"/>
      <c r="F220" s="300"/>
    </row>
    <row r="221" spans="1:8" s="296" customFormat="1" ht="13.5" thickBot="1">
      <c r="A221" s="303"/>
      <c r="B221" s="304"/>
      <c r="C221" s="304"/>
      <c r="D221" s="304"/>
      <c r="E221" s="304"/>
      <c r="F221" s="427"/>
    </row>
    <row r="222" spans="1:8" s="296" customFormat="1">
      <c r="A222" s="1217"/>
      <c r="B222" s="1217"/>
      <c r="C222" s="1217"/>
      <c r="D222" s="298"/>
      <c r="F222" s="864"/>
    </row>
    <row r="223" spans="1:8" s="296" customFormat="1">
      <c r="A223" s="1218"/>
      <c r="B223" s="1218"/>
      <c r="C223" s="1218"/>
      <c r="D223" s="834" t="s">
        <v>547</v>
      </c>
      <c r="E223" s="835"/>
      <c r="F223" s="884" cm="1">
        <f t="array" ref="F223">IFERROR(INDEX('TB '!G:G,MATCH(D223,'TB '!A:A,0),0),0)</f>
        <v>4369592.2</v>
      </c>
    </row>
    <row r="224" spans="1:8">
      <c r="A224" s="1218"/>
      <c r="B224" s="1218"/>
      <c r="C224" s="1218"/>
      <c r="D224" s="834" t="s">
        <v>712</v>
      </c>
      <c r="E224" s="835"/>
      <c r="F224" s="884">
        <f>F223-F13</f>
        <v>0</v>
      </c>
    </row>
    <row r="225" spans="1:6">
      <c r="A225" s="1218"/>
      <c r="B225" s="1218"/>
      <c r="C225" s="1218"/>
      <c r="D225" s="834" t="s">
        <v>551</v>
      </c>
      <c r="E225" s="10"/>
      <c r="F225" s="884" cm="1">
        <f t="array" ref="F225">IFERROR(INDEX('TB '!G:G,MATCH(D225,'TB '!A:A,0),0),0)</f>
        <v>17478368.800000001</v>
      </c>
    </row>
    <row r="226" spans="1:6">
      <c r="A226" s="1218"/>
      <c r="B226" s="1218"/>
      <c r="C226" s="1218"/>
      <c r="D226" s="834" t="s">
        <v>712</v>
      </c>
      <c r="E226" s="10"/>
      <c r="F226" s="884">
        <f>F225-F18</f>
        <v>0</v>
      </c>
    </row>
    <row r="227" spans="1:6">
      <c r="A227" s="1218"/>
      <c r="B227" s="1218"/>
      <c r="C227" s="1218"/>
      <c r="D227" s="834" t="s">
        <v>640</v>
      </c>
      <c r="E227" s="10"/>
      <c r="F227" s="884" cm="1">
        <f t="array" ref="F227">IFERROR(INDEX('TB '!G:G,MATCH(D227,'TB '!A:A,0),0),0)</f>
        <v>2052989.65</v>
      </c>
    </row>
    <row r="228" spans="1:6">
      <c r="A228" s="1218"/>
      <c r="B228" s="1218"/>
      <c r="C228" s="1218"/>
      <c r="D228" s="834" t="s">
        <v>712</v>
      </c>
      <c r="E228" s="10"/>
      <c r="F228" s="884">
        <f>F227-F141</f>
        <v>0</v>
      </c>
    </row>
    <row r="229" spans="1:6">
      <c r="A229" s="1218"/>
      <c r="B229" s="1218"/>
      <c r="C229" s="1218"/>
      <c r="D229" s="834" t="s">
        <v>652</v>
      </c>
      <c r="E229" s="10"/>
      <c r="F229" s="884" cm="1">
        <f t="array" ref="F229">IFERROR(INDEX('TB '!G:G,MATCH(D229,'TB '!A:A,0),0),0)</f>
        <v>237334.8</v>
      </c>
    </row>
    <row r="230" spans="1:6">
      <c r="A230" s="1218"/>
      <c r="B230" s="1218"/>
      <c r="C230" s="1218"/>
      <c r="D230" s="834" t="s">
        <v>712</v>
      </c>
      <c r="E230" s="10"/>
      <c r="F230" s="884">
        <f>F229-F154</f>
        <v>0</v>
      </c>
    </row>
    <row r="231" spans="1:6">
      <c r="A231" s="1218"/>
      <c r="B231" s="1218"/>
      <c r="C231" s="1218"/>
      <c r="D231" s="834" t="s">
        <v>1224</v>
      </c>
      <c r="E231" s="10"/>
      <c r="F231" s="884" cm="1">
        <f t="array" ref="F231">IFERROR(INDEX('TB '!G:G,MATCH(D231,'TB '!A:A,0),0),0)</f>
        <v>0</v>
      </c>
    </row>
    <row r="232" spans="1:6">
      <c r="A232" s="1218"/>
      <c r="B232" s="1218"/>
      <c r="C232" s="1218"/>
      <c r="D232" s="834" t="s">
        <v>712</v>
      </c>
      <c r="E232" s="10"/>
      <c r="F232" s="884">
        <f>F231-F166</f>
        <v>0</v>
      </c>
    </row>
    <row r="233" spans="1:6">
      <c r="A233" s="1218"/>
      <c r="B233" s="1218"/>
      <c r="C233" s="1218"/>
      <c r="D233" s="834" t="s">
        <v>1359</v>
      </c>
      <c r="E233" s="10"/>
      <c r="F233" s="884" cm="1">
        <f t="array" ref="F233">IFERROR(INDEX('TB '!G:G,MATCH(D233,'TB '!A:A,0),0),0)</f>
        <v>11648</v>
      </c>
    </row>
    <row r="234" spans="1:6">
      <c r="A234" s="1218"/>
      <c r="B234" s="1218"/>
      <c r="C234" s="1218"/>
      <c r="D234" s="834" t="s">
        <v>712</v>
      </c>
      <c r="E234" s="10"/>
      <c r="F234" s="884">
        <f>F233-F170</f>
        <v>0</v>
      </c>
    </row>
    <row r="235" spans="1:6">
      <c r="A235" s="1218"/>
      <c r="B235" s="1218"/>
      <c r="C235" s="1218"/>
      <c r="D235" s="834" t="s">
        <v>663</v>
      </c>
      <c r="E235" s="10"/>
      <c r="F235" s="884" cm="1">
        <f t="array" ref="F235">IFERROR(INDEX('TB '!G:G,MATCH(D235,'TB '!A:A,0),0),0)</f>
        <v>2200</v>
      </c>
    </row>
    <row r="236" spans="1:6">
      <c r="A236" s="1218"/>
      <c r="B236" s="1218"/>
      <c r="C236" s="1218"/>
      <c r="D236" s="834" t="s">
        <v>712</v>
      </c>
      <c r="E236" s="10"/>
      <c r="F236" s="884">
        <f>F235-F174</f>
        <v>0</v>
      </c>
    </row>
    <row r="237" spans="1:6">
      <c r="A237" s="1218"/>
      <c r="B237" s="1218"/>
      <c r="C237" s="1218"/>
      <c r="D237" s="834" t="s">
        <v>691</v>
      </c>
      <c r="E237" s="10"/>
      <c r="F237" s="884" cm="1">
        <f t="array" ref="F237">IFERROR(INDEX('TB '!G:G,MATCH(D237,'TB '!A:A,0),0),0)</f>
        <v>239044.55</v>
      </c>
    </row>
    <row r="238" spans="1:6">
      <c r="A238" s="1218"/>
      <c r="B238" s="1218"/>
      <c r="C238" s="1218"/>
      <c r="D238" s="834" t="s">
        <v>712</v>
      </c>
      <c r="E238" s="10"/>
      <c r="F238" s="884">
        <f>F237-F201</f>
        <v>0</v>
      </c>
    </row>
    <row r="239" spans="1:6">
      <c r="A239" s="1218"/>
      <c r="B239" s="1218"/>
      <c r="C239" s="1218"/>
      <c r="D239" s="834" t="s">
        <v>697</v>
      </c>
      <c r="E239" s="10"/>
      <c r="F239" s="884" cm="1">
        <f t="array" ref="F239">IFERROR(INDEX('TB '!G:G,MATCH(D239,'TB '!A:A,0),0),0)</f>
        <v>355176.83</v>
      </c>
    </row>
    <row r="240" spans="1:6">
      <c r="A240" s="1218"/>
      <c r="B240" s="1218"/>
      <c r="C240" s="1218"/>
      <c r="D240" s="834" t="s">
        <v>712</v>
      </c>
      <c r="E240" s="10"/>
      <c r="F240" s="884">
        <f>F239-F209</f>
        <v>0</v>
      </c>
    </row>
    <row r="241" spans="1:6">
      <c r="A241" s="1218"/>
      <c r="B241" s="1218"/>
      <c r="C241" s="1218"/>
      <c r="D241" s="834" t="s">
        <v>1225</v>
      </c>
      <c r="E241" s="10"/>
      <c r="F241" s="884" cm="1">
        <f t="array" ref="F241">IFERROR(INDEX('TB '!G:G,MATCH(D241,'TB '!A:A,0),0),0)</f>
        <v>0</v>
      </c>
    </row>
    <row r="242" spans="1:6">
      <c r="A242" s="1218"/>
      <c r="B242" s="1218"/>
      <c r="C242" s="1218"/>
      <c r="D242" s="834" t="s">
        <v>712</v>
      </c>
      <c r="E242" s="10"/>
      <c r="F242" s="884">
        <f>F241-F213</f>
        <v>0</v>
      </c>
    </row>
    <row r="243" spans="1:6">
      <c r="A243" s="1218"/>
      <c r="B243" s="1218"/>
      <c r="C243" s="1218"/>
      <c r="D243" s="834" t="s">
        <v>1205</v>
      </c>
      <c r="E243" s="10"/>
      <c r="F243" s="884" cm="1">
        <f t="array" ref="F243">IFERROR(INDEX('TB '!G:G,MATCH(D243,'TB '!A:A,0),0),0)</f>
        <v>442910.74</v>
      </c>
    </row>
    <row r="244" spans="1:6">
      <c r="A244" s="1219"/>
      <c r="B244" s="1219"/>
      <c r="C244" s="1219"/>
      <c r="D244" s="834" t="s">
        <v>712</v>
      </c>
      <c r="E244" s="10"/>
      <c r="F244" s="884">
        <f>F243-F219</f>
        <v>0</v>
      </c>
    </row>
  </sheetData>
  <mergeCells count="4">
    <mergeCell ref="A1:F1"/>
    <mergeCell ref="A2:F2"/>
    <mergeCell ref="A3:F3"/>
    <mergeCell ref="A222:C244"/>
  </mergeCells>
  <pageMargins left="0.7" right="0.7" top="0.75" bottom="0.75" header="0.3" footer="0.3"/>
  <pageSetup scale="61" orientation="portrait"/>
  <ignoredErrors>
    <ignoredError sqref="F224 F226 F230 F232 F236 F238 F240 F242" formula="1"/>
  </ignoredError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FDA79-181E-420C-82D9-7F0F8A175E79}">
  <dimension ref="A1:K35"/>
  <sheetViews>
    <sheetView zoomScale="85" zoomScaleNormal="85" workbookViewId="0">
      <selection activeCell="F20" sqref="F20"/>
    </sheetView>
  </sheetViews>
  <sheetFormatPr defaultColWidth="9.140625" defaultRowHeight="12.75"/>
  <cols>
    <col min="1" max="1" width="11.140625" style="402" customWidth="1"/>
    <col min="2" max="2" width="27.85546875" style="402" bestFit="1" customWidth="1"/>
    <col min="3" max="3" width="26.85546875" style="402" customWidth="1"/>
    <col min="4" max="4" width="50.140625" style="402" customWidth="1"/>
    <col min="5" max="5" width="15.5703125" style="1104" customWidth="1"/>
    <col min="6" max="6" width="18" style="1104" customWidth="1"/>
    <col min="7" max="7" width="43.140625" style="402" bestFit="1" customWidth="1"/>
    <col min="8" max="8" width="9.140625" style="402"/>
    <col min="9" max="9" width="10.42578125" style="402" bestFit="1" customWidth="1"/>
    <col min="10" max="16384" width="9.140625" style="402"/>
  </cols>
  <sheetData>
    <row r="1" spans="1:11" s="379" customFormat="1" ht="18">
      <c r="A1" s="1179" t="s">
        <v>1459</v>
      </c>
      <c r="B1" s="1180"/>
      <c r="C1" s="1180"/>
      <c r="D1" s="1180"/>
      <c r="E1" s="1180"/>
      <c r="F1" s="1181"/>
    </row>
    <row r="2" spans="1:11" s="379" customFormat="1" ht="18">
      <c r="A2" s="1182" t="s">
        <v>1460</v>
      </c>
      <c r="B2" s="1183"/>
      <c r="C2" s="1183"/>
      <c r="D2" s="1183"/>
      <c r="E2" s="1183"/>
      <c r="F2" s="1184"/>
    </row>
    <row r="3" spans="1:11" s="379" customFormat="1" ht="18.75" thickBot="1">
      <c r="A3" s="1185" t="s">
        <v>1511</v>
      </c>
      <c r="B3" s="1186"/>
      <c r="C3" s="1186"/>
      <c r="D3" s="1186"/>
      <c r="E3" s="1186"/>
      <c r="F3" s="1187"/>
    </row>
    <row r="4" spans="1:11" s="379" customFormat="1">
      <c r="E4" s="1079"/>
      <c r="F4" s="1079"/>
    </row>
    <row r="5" spans="1:11" s="379" customFormat="1">
      <c r="E5" s="1079"/>
      <c r="F5" s="1079"/>
    </row>
    <row r="6" spans="1:11" s="379" customFormat="1">
      <c r="E6" s="1079"/>
      <c r="F6" s="1079"/>
    </row>
    <row r="7" spans="1:11" s="379" customFormat="1" ht="13.5" thickBot="1">
      <c r="E7" s="1079"/>
      <c r="F7" s="1079"/>
    </row>
    <row r="8" spans="1:11" s="379" customFormat="1">
      <c r="A8" s="380"/>
      <c r="B8" s="381"/>
      <c r="C8" s="381"/>
      <c r="D8" s="381"/>
      <c r="E8" s="1080"/>
      <c r="F8" s="1081"/>
    </row>
    <row r="9" spans="1:11" s="379" customFormat="1" ht="26.25" thickBot="1">
      <c r="A9" s="383" t="s">
        <v>303</v>
      </c>
      <c r="B9" s="384" t="s">
        <v>471</v>
      </c>
      <c r="C9" s="384" t="s">
        <v>545</v>
      </c>
      <c r="D9" s="384" t="s">
        <v>10</v>
      </c>
      <c r="E9" s="1082" t="s">
        <v>11</v>
      </c>
      <c r="F9" s="1083" t="s">
        <v>105</v>
      </c>
      <c r="G9" s="386"/>
      <c r="H9" s="386"/>
      <c r="I9" s="386"/>
      <c r="J9" s="386"/>
      <c r="K9" s="386"/>
    </row>
    <row r="10" spans="1:11" s="379" customFormat="1" ht="13.5" thickBot="1">
      <c r="A10" s="1084"/>
      <c r="B10" s="1085"/>
      <c r="C10" s="1085"/>
      <c r="D10" s="1085"/>
      <c r="E10" s="1086"/>
      <c r="F10" s="1086"/>
      <c r="G10" s="1087" t="s">
        <v>1189</v>
      </c>
      <c r="H10" s="386"/>
      <c r="I10" s="386"/>
      <c r="J10" s="386"/>
      <c r="K10" s="386"/>
    </row>
    <row r="11" spans="1:11" s="379" customFormat="1">
      <c r="A11" s="1088"/>
      <c r="B11" s="1089"/>
      <c r="C11" s="1089"/>
      <c r="D11" s="1090" t="s">
        <v>1461</v>
      </c>
      <c r="E11" s="1091">
        <v>104056.53</v>
      </c>
      <c r="F11" s="1091"/>
      <c r="G11" s="1087"/>
      <c r="H11" s="386"/>
      <c r="I11" s="386"/>
      <c r="J11" s="386"/>
      <c r="K11" s="386"/>
    </row>
    <row r="12" spans="1:11" customFormat="1">
      <c r="A12" s="1092">
        <v>45960</v>
      </c>
      <c r="B12" t="s">
        <v>1462</v>
      </c>
      <c r="C12" t="s">
        <v>1463</v>
      </c>
      <c r="D12" t="s">
        <v>1413</v>
      </c>
      <c r="E12" s="198">
        <v>17028.55</v>
      </c>
      <c r="F12" s="392">
        <f>E11+E12</f>
        <v>121085.08</v>
      </c>
      <c r="G12" s="10"/>
    </row>
    <row r="13" spans="1:11" customFormat="1">
      <c r="A13" s="1092">
        <v>45982</v>
      </c>
      <c r="B13" t="s">
        <v>1464</v>
      </c>
      <c r="C13" t="s">
        <v>1427</v>
      </c>
      <c r="D13" t="s">
        <v>1465</v>
      </c>
      <c r="E13" s="198">
        <v>92878.96</v>
      </c>
      <c r="F13" s="392">
        <f>F12+E13</f>
        <v>213964.04</v>
      </c>
      <c r="G13" s="10"/>
    </row>
    <row r="14" spans="1:11" customFormat="1">
      <c r="A14" s="1092">
        <v>46014</v>
      </c>
      <c r="B14" s="379" t="s">
        <v>1466</v>
      </c>
      <c r="C14" t="s">
        <v>1467</v>
      </c>
      <c r="D14" t="s">
        <v>1468</v>
      </c>
      <c r="E14" s="198">
        <v>21600</v>
      </c>
      <c r="F14" s="392">
        <f>F13+E14</f>
        <v>235564.04</v>
      </c>
      <c r="G14" s="10"/>
    </row>
    <row r="15" spans="1:11" customFormat="1">
      <c r="A15" s="1092">
        <v>46101</v>
      </c>
      <c r="B15" s="379" t="s">
        <v>1484</v>
      </c>
      <c r="C15" t="s">
        <v>1483</v>
      </c>
      <c r="D15" t="s">
        <v>1485</v>
      </c>
      <c r="E15" s="198">
        <v>3480.51</v>
      </c>
      <c r="F15" s="392">
        <f>F14+E15</f>
        <v>239044.55000000002</v>
      </c>
      <c r="G15" s="10"/>
    </row>
    <row r="16" spans="1:11" customFormat="1">
      <c r="A16" s="619"/>
      <c r="G16" s="10"/>
    </row>
    <row r="17" spans="1:9" s="379" customFormat="1">
      <c r="A17" s="1093"/>
      <c r="C17" s="1094"/>
      <c r="D17" s="333"/>
      <c r="E17" s="1095"/>
      <c r="F17" s="1096"/>
      <c r="G17" s="746"/>
    </row>
    <row r="18" spans="1:9" s="400" customFormat="1" ht="13.5" thickBot="1">
      <c r="A18" s="396"/>
      <c r="B18" s="397"/>
      <c r="C18" s="397"/>
      <c r="D18" s="397" t="s">
        <v>306</v>
      </c>
      <c r="E18" s="1097"/>
      <c r="F18" s="1098">
        <f>F15</f>
        <v>239044.55000000002</v>
      </c>
      <c r="G18" s="1099"/>
      <c r="H18" s="379"/>
      <c r="I18" s="1100"/>
    </row>
    <row r="19" spans="1:9" s="379" customFormat="1">
      <c r="A19" s="390"/>
      <c r="B19" s="390"/>
      <c r="C19" s="390"/>
      <c r="D19" s="390"/>
      <c r="E19" s="1101"/>
      <c r="F19" s="1101"/>
    </row>
    <row r="20" spans="1:9" s="379" customFormat="1">
      <c r="A20" s="1188"/>
      <c r="B20" s="1220"/>
      <c r="C20" s="1220"/>
      <c r="D20" s="1189"/>
      <c r="E20" s="1102" t="str">
        <f>RIGHT(A2,5)&amp;"-000000"</f>
        <v>16500-000000</v>
      </c>
      <c r="F20" s="884" cm="1">
        <f t="array" ref="F20">IFERROR(INDEX('TB '!G:G,MATCH(E20,'TB '!A:A,0),0),0)</f>
        <v>239044.55</v>
      </c>
    </row>
    <row r="21" spans="1:9" s="379" customFormat="1">
      <c r="A21" s="1190"/>
      <c r="B21" s="1221"/>
      <c r="C21" s="1221"/>
      <c r="D21" s="1191"/>
      <c r="E21" s="1102" t="s">
        <v>712</v>
      </c>
      <c r="F21" s="1103">
        <f>+F18-F20</f>
        <v>0</v>
      </c>
    </row>
    <row r="22" spans="1:9" s="379" customFormat="1">
      <c r="B22" s="401"/>
      <c r="C22" s="401"/>
      <c r="D22" s="391"/>
      <c r="E22" s="1079"/>
      <c r="F22" s="1079"/>
    </row>
    <row r="23" spans="1:9" s="379" customFormat="1">
      <c r="B23" s="401"/>
      <c r="C23" s="401"/>
      <c r="D23" s="391"/>
      <c r="E23" s="1079"/>
      <c r="F23" s="1079"/>
    </row>
    <row r="24" spans="1:9" s="379" customFormat="1">
      <c r="D24"/>
      <c r="E24"/>
      <c r="F24" s="1079"/>
    </row>
    <row r="25" spans="1:9" s="379" customFormat="1">
      <c r="D25"/>
      <c r="E25"/>
      <c r="F25" s="1079"/>
    </row>
    <row r="26" spans="1:9">
      <c r="B26" s="403"/>
      <c r="C26" s="403"/>
      <c r="D26"/>
      <c r="E26"/>
    </row>
    <row r="27" spans="1:9">
      <c r="D27"/>
      <c r="E27"/>
    </row>
    <row r="28" spans="1:9">
      <c r="B28" s="379"/>
      <c r="C28" s="379"/>
      <c r="D28"/>
      <c r="E28"/>
    </row>
    <row r="29" spans="1:9">
      <c r="D29"/>
      <c r="E29"/>
    </row>
    <row r="30" spans="1:9">
      <c r="D30" s="379"/>
    </row>
    <row r="31" spans="1:9">
      <c r="B31" s="379"/>
      <c r="C31" s="379"/>
      <c r="D31" s="379"/>
    </row>
    <row r="32" spans="1:9">
      <c r="D32" s="379"/>
    </row>
    <row r="33" spans="4:4">
      <c r="D33" s="379"/>
    </row>
    <row r="34" spans="4:4">
      <c r="D34" s="379"/>
    </row>
    <row r="35" spans="4:4">
      <c r="D35" s="379"/>
    </row>
  </sheetData>
  <mergeCells count="4">
    <mergeCell ref="A1:F1"/>
    <mergeCell ref="A2:F2"/>
    <mergeCell ref="A3:F3"/>
    <mergeCell ref="A20:D21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3C02F-DA31-4279-98AD-5D5407FE14D6}">
  <sheetPr codeName="Sheet79"/>
  <dimension ref="A1:K27"/>
  <sheetViews>
    <sheetView zoomScale="85" zoomScaleNormal="85" workbookViewId="0">
      <selection activeCell="E15" sqref="E15"/>
    </sheetView>
  </sheetViews>
  <sheetFormatPr defaultRowHeight="12.75"/>
  <cols>
    <col min="1" max="1" width="12.5703125" customWidth="1"/>
    <col min="2" max="2" width="2.5703125" customWidth="1"/>
    <col min="3" max="3" width="42.5703125" bestFit="1" customWidth="1"/>
    <col min="4" max="4" width="12.42578125" bestFit="1" customWidth="1"/>
    <col min="5" max="5" width="20.5703125" customWidth="1"/>
    <col min="6" max="6" width="24.42578125" customWidth="1"/>
    <col min="11" max="11" width="15" bestFit="1" customWidth="1"/>
  </cols>
  <sheetData>
    <row r="1" spans="1:11" s="296" customFormat="1" ht="18">
      <c r="A1" s="1179" t="str">
        <f>'Review Comments'!B9</f>
        <v>COCONUT GROVE RETAIL XIII, LLC</v>
      </c>
      <c r="B1" s="1180"/>
      <c r="C1" s="1180"/>
      <c r="D1" s="1180"/>
      <c r="E1" s="1180"/>
      <c r="F1" s="1181"/>
    </row>
    <row r="2" spans="1:11" s="296" customFormat="1" ht="18">
      <c r="A2" s="1201" t="s">
        <v>1445</v>
      </c>
      <c r="B2" s="1202"/>
      <c r="C2" s="1202"/>
      <c r="D2" s="1202"/>
      <c r="E2" s="1202"/>
      <c r="F2" s="1203"/>
    </row>
    <row r="3" spans="1:11" s="296" customFormat="1" ht="18.75" thickBot="1">
      <c r="A3" s="1204" t="str">
        <f>'Review Comments'!B11</f>
        <v>FOR THE MONTH 07/31/2026</v>
      </c>
      <c r="B3" s="1205"/>
      <c r="C3" s="1205"/>
      <c r="D3" s="1205"/>
      <c r="E3" s="1205"/>
      <c r="F3" s="1206"/>
    </row>
    <row r="4" spans="1:11" s="296" customFormat="1"/>
    <row r="5" spans="1:11" s="296" customFormat="1"/>
    <row r="6" spans="1:11" s="296" customFormat="1"/>
    <row r="7" spans="1:11" s="296" customFormat="1" ht="13.5" thickBot="1"/>
    <row r="8" spans="1:11" s="296" customFormat="1">
      <c r="A8" s="414"/>
      <c r="B8" s="415"/>
      <c r="C8" s="415"/>
      <c r="D8" s="415"/>
      <c r="E8" s="415"/>
      <c r="F8" s="416"/>
    </row>
    <row r="9" spans="1:11" s="296" customFormat="1" ht="26.25" thickBot="1">
      <c r="A9" s="417" t="s">
        <v>303</v>
      </c>
      <c r="B9" s="418"/>
      <c r="C9" s="418" t="s">
        <v>10</v>
      </c>
      <c r="D9" s="418"/>
      <c r="E9" s="418" t="s">
        <v>11</v>
      </c>
      <c r="F9" s="419" t="s">
        <v>466</v>
      </c>
      <c r="G9" s="297"/>
      <c r="H9" s="297"/>
      <c r="I9" s="297"/>
      <c r="J9" s="297"/>
      <c r="K9" s="297"/>
    </row>
    <row r="10" spans="1:11" s="296" customFormat="1">
      <c r="A10" s="301"/>
      <c r="F10" s="542"/>
    </row>
    <row r="11" spans="1:11" s="296" customFormat="1">
      <c r="A11" s="716">
        <v>45657</v>
      </c>
      <c r="B11" s="424"/>
      <c r="C11" s="424" t="s">
        <v>1446</v>
      </c>
      <c r="D11" s="424"/>
      <c r="E11" s="548">
        <v>442910.74</v>
      </c>
      <c r="F11" s="560"/>
    </row>
    <row r="12" spans="1:11" s="296" customFormat="1">
      <c r="D12" s="424"/>
      <c r="E12" s="548"/>
      <c r="F12" s="563"/>
    </row>
    <row r="13" spans="1:11" s="305" customFormat="1" ht="13.5" thickBot="1">
      <c r="A13" s="564"/>
      <c r="B13" s="324"/>
      <c r="C13" s="324" t="s">
        <v>468</v>
      </c>
      <c r="D13" s="324"/>
      <c r="E13" s="549">
        <f>SUM(E11:E12)</f>
        <v>442910.74</v>
      </c>
      <c r="F13" s="565"/>
      <c r="K13" s="700"/>
    </row>
    <row r="14" spans="1:11" s="296" customFormat="1">
      <c r="E14" s="299"/>
    </row>
    <row r="15" spans="1:11" s="296" customFormat="1" ht="12.6" customHeight="1">
      <c r="B15" s="306"/>
      <c r="D15" s="834" t="s">
        <v>1205</v>
      </c>
      <c r="E15" s="884" cm="1">
        <f t="array" ref="E15">IFERROR(INDEX('TB '!G:G,MATCH(D15,'TB '!A:A,0),0),0)</f>
        <v>442910.74</v>
      </c>
    </row>
    <row r="16" spans="1:11" s="296" customFormat="1">
      <c r="D16" s="834" t="s">
        <v>712</v>
      </c>
      <c r="E16" s="1046">
        <f>E15-E13</f>
        <v>0</v>
      </c>
      <c r="K16" s="299"/>
    </row>
    <row r="17" spans="2:3" s="296" customFormat="1"/>
    <row r="18" spans="2:3">
      <c r="B18" s="307"/>
      <c r="C18" s="296"/>
    </row>
    <row r="19" spans="2:3">
      <c r="C19" s="296"/>
    </row>
    <row r="20" spans="2:3">
      <c r="C20" s="296"/>
    </row>
    <row r="21" spans="2:3">
      <c r="C21" s="296"/>
    </row>
    <row r="22" spans="2:3">
      <c r="C22" s="296"/>
    </row>
    <row r="23" spans="2:3">
      <c r="C23" s="296"/>
    </row>
    <row r="24" spans="2:3">
      <c r="C24" s="296"/>
    </row>
    <row r="25" spans="2:3">
      <c r="C25" s="296"/>
    </row>
    <row r="26" spans="2:3">
      <c r="C26" s="296"/>
    </row>
    <row r="27" spans="2:3">
      <c r="C27" s="296"/>
    </row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42">
    <pageSetUpPr autoPageBreaks="0" fitToPage="1"/>
  </sheetPr>
  <dimension ref="A1:J47"/>
  <sheetViews>
    <sheetView workbookViewId="0">
      <selection activeCell="D26" sqref="D26"/>
    </sheetView>
  </sheetViews>
  <sheetFormatPr defaultColWidth="9.42578125" defaultRowHeight="12.75"/>
  <cols>
    <col min="1" max="1" width="12.5703125" style="402" customWidth="1"/>
    <col min="2" max="2" width="2.5703125" style="402" customWidth="1"/>
    <col min="3" max="3" width="33.5703125" style="402" customWidth="1"/>
    <col min="4" max="4" width="32" style="402" customWidth="1"/>
    <col min="5" max="5" width="17.42578125" style="402" customWidth="1"/>
    <col min="6" max="16384" width="9.42578125" style="402"/>
  </cols>
  <sheetData>
    <row r="1" spans="1:10" s="379" customFormat="1" ht="18">
      <c r="A1" s="1179" t="str">
        <f>'Review Comments'!B9</f>
        <v>COCONUT GROVE RETAIL XIII, LLC</v>
      </c>
      <c r="B1" s="1180"/>
      <c r="C1" s="1180"/>
      <c r="D1" s="1180"/>
      <c r="E1" s="1181"/>
    </row>
    <row r="2" spans="1:10" s="379" customFormat="1" ht="18">
      <c r="A2" s="1182" t="s">
        <v>713</v>
      </c>
      <c r="B2" s="1183"/>
      <c r="C2" s="1183"/>
      <c r="D2" s="1183"/>
      <c r="E2" s="1184"/>
    </row>
    <row r="3" spans="1:10" s="379" customFormat="1" ht="18.75" thickBot="1">
      <c r="A3" s="1185" t="str">
        <f>'Review Comments'!B11</f>
        <v>FOR THE MONTH 07/31/2026</v>
      </c>
      <c r="B3" s="1186"/>
      <c r="C3" s="1186"/>
      <c r="D3" s="1186"/>
      <c r="E3" s="1187"/>
    </row>
    <row r="4" spans="1:10" s="379" customFormat="1"/>
    <row r="5" spans="1:10" s="379" customFormat="1"/>
    <row r="6" spans="1:10" s="379" customFormat="1"/>
    <row r="7" spans="1:10" s="379" customFormat="1" ht="13.5" thickBot="1"/>
    <row r="8" spans="1:10" s="379" customFormat="1">
      <c r="A8" s="380"/>
      <c r="B8" s="381"/>
      <c r="C8" s="381"/>
      <c r="D8" s="381"/>
      <c r="E8" s="382"/>
    </row>
    <row r="9" spans="1:10" s="379" customFormat="1" ht="13.5" thickBot="1">
      <c r="A9" s="383" t="s">
        <v>714</v>
      </c>
      <c r="B9" s="384"/>
      <c r="C9" s="384" t="s">
        <v>10</v>
      </c>
      <c r="D9" s="384" t="s">
        <v>471</v>
      </c>
      <c r="E9" s="385" t="s">
        <v>105</v>
      </c>
      <c r="F9" s="386"/>
      <c r="G9" s="386"/>
      <c r="H9" s="386"/>
      <c r="I9" s="386"/>
      <c r="J9" s="386"/>
    </row>
    <row r="10" spans="1:10" s="379" customFormat="1">
      <c r="A10" s="387"/>
      <c r="E10" s="388"/>
    </row>
    <row r="11" spans="1:10" s="379" customFormat="1">
      <c r="A11" s="389"/>
      <c r="B11" s="390"/>
      <c r="C11" s="391"/>
      <c r="D11" s="391"/>
      <c r="E11" s="605"/>
    </row>
    <row r="12" spans="1:10" s="379" customFormat="1">
      <c r="A12" s="389"/>
      <c r="B12" s="390"/>
      <c r="C12" s="606"/>
      <c r="D12" s="391"/>
      <c r="E12" s="605"/>
    </row>
    <row r="13" spans="1:10" s="379" customFormat="1">
      <c r="A13" s="389"/>
      <c r="B13" s="390"/>
      <c r="C13" s="606"/>
      <c r="D13" s="391"/>
      <c r="E13" s="605"/>
    </row>
    <row r="14" spans="1:10" s="379" customFormat="1">
      <c r="A14" s="389"/>
      <c r="B14" s="390"/>
      <c r="C14" s="606"/>
      <c r="D14" s="391"/>
      <c r="E14" s="605"/>
    </row>
    <row r="15" spans="1:10" s="379" customFormat="1">
      <c r="A15" s="389"/>
      <c r="B15" s="390"/>
      <c r="C15" s="606"/>
      <c r="D15" s="391"/>
      <c r="E15" s="605"/>
    </row>
    <row r="16" spans="1:10" s="379" customFormat="1">
      <c r="A16" s="389"/>
      <c r="B16" s="390"/>
      <c r="C16" s="606"/>
      <c r="D16" s="391"/>
      <c r="E16" s="605"/>
    </row>
    <row r="17" spans="1:5" s="379" customFormat="1">
      <c r="A17" s="389"/>
      <c r="B17" s="390"/>
      <c r="C17" s="606"/>
      <c r="D17" s="391"/>
      <c r="E17" s="605"/>
    </row>
    <row r="18" spans="1:5" s="379" customFormat="1">
      <c r="A18" s="389"/>
      <c r="B18" s="390"/>
      <c r="C18" s="606"/>
      <c r="D18" s="391"/>
      <c r="E18" s="605"/>
    </row>
    <row r="19" spans="1:5" s="379" customFormat="1">
      <c r="A19" s="389"/>
      <c r="B19" s="390"/>
      <c r="C19" s="606"/>
      <c r="D19" s="391"/>
      <c r="E19" s="605"/>
    </row>
    <row r="20" spans="1:5" s="379" customFormat="1">
      <c r="A20" s="389"/>
      <c r="B20" s="390"/>
      <c r="C20" s="606"/>
      <c r="D20" s="391"/>
      <c r="E20" s="605"/>
    </row>
    <row r="21" spans="1:5" s="379" customFormat="1">
      <c r="A21" s="389"/>
      <c r="B21" s="390"/>
      <c r="C21" s="606"/>
      <c r="D21" s="391"/>
      <c r="E21" s="605"/>
    </row>
    <row r="22" spans="1:5" s="379" customFormat="1">
      <c r="A22" s="389"/>
      <c r="B22" s="390"/>
      <c r="C22" s="606"/>
      <c r="D22" s="391"/>
      <c r="E22" s="605"/>
    </row>
    <row r="23" spans="1:5" s="379" customFormat="1">
      <c r="A23" s="389"/>
      <c r="B23" s="390"/>
      <c r="C23" s="606"/>
      <c r="D23" s="391"/>
      <c r="E23" s="605"/>
    </row>
    <row r="24" spans="1:5" s="379" customFormat="1">
      <c r="A24" s="389"/>
      <c r="B24" s="390"/>
      <c r="C24" s="606"/>
      <c r="D24" s="391"/>
      <c r="E24" s="605"/>
    </row>
    <row r="25" spans="1:5" s="379" customFormat="1">
      <c r="A25" s="389"/>
      <c r="B25" s="390"/>
      <c r="C25" s="606"/>
      <c r="D25" s="391"/>
      <c r="E25" s="605"/>
    </row>
    <row r="26" spans="1:5" s="379" customFormat="1">
      <c r="A26" s="389"/>
      <c r="B26" s="390"/>
      <c r="C26" s="606"/>
      <c r="D26" s="391"/>
      <c r="E26" s="605"/>
    </row>
    <row r="27" spans="1:5" s="379" customFormat="1">
      <c r="A27" s="389"/>
      <c r="B27" s="390"/>
      <c r="C27" s="606"/>
      <c r="D27" s="391"/>
      <c r="E27" s="605"/>
    </row>
    <row r="28" spans="1:5" s="379" customFormat="1">
      <c r="A28" s="389"/>
      <c r="B28" s="390"/>
      <c r="C28" s="606"/>
      <c r="D28" s="391"/>
      <c r="E28" s="605"/>
    </row>
    <row r="29" spans="1:5" s="379" customFormat="1">
      <c r="A29" s="389"/>
      <c r="B29" s="390"/>
      <c r="C29" s="606"/>
      <c r="D29" s="391"/>
      <c r="E29" s="605"/>
    </row>
    <row r="30" spans="1:5" s="379" customFormat="1">
      <c r="A30" s="389"/>
      <c r="B30" s="390"/>
      <c r="C30" s="606"/>
      <c r="D30" s="391"/>
      <c r="E30" s="605"/>
    </row>
    <row r="31" spans="1:5" s="379" customFormat="1">
      <c r="A31" s="389"/>
      <c r="B31" s="390"/>
      <c r="C31" s="606"/>
      <c r="D31" s="391"/>
      <c r="E31" s="605"/>
    </row>
    <row r="32" spans="1:5" s="379" customFormat="1">
      <c r="A32" s="394"/>
      <c r="B32" s="390"/>
      <c r="C32" s="390"/>
      <c r="D32" s="390"/>
      <c r="E32" s="393"/>
    </row>
    <row r="33" spans="1:5" s="400" customFormat="1" ht="13.5" thickBot="1">
      <c r="A33" s="396"/>
      <c r="B33" s="397"/>
      <c r="C33" s="397"/>
      <c r="D33" s="397" t="s">
        <v>306</v>
      </c>
      <c r="E33" s="399">
        <f>SUM(E11:E32)</f>
        <v>0</v>
      </c>
    </row>
    <row r="34" spans="1:5" s="379" customFormat="1">
      <c r="A34" s="390"/>
      <c r="B34" s="390"/>
      <c r="C34" s="390"/>
      <c r="D34" s="390"/>
      <c r="E34" s="390"/>
    </row>
    <row r="35" spans="1:5" s="379" customFormat="1">
      <c r="B35" s="401"/>
      <c r="C35" s="401"/>
      <c r="D35" s="391"/>
    </row>
    <row r="36" spans="1:5" s="379" customFormat="1">
      <c r="D36" s="391"/>
    </row>
    <row r="37" spans="1:5" s="379" customFormat="1"/>
    <row r="38" spans="1:5">
      <c r="B38" s="403"/>
      <c r="C38" s="403"/>
      <c r="D38" s="379"/>
    </row>
    <row r="39" spans="1:5">
      <c r="D39" s="379"/>
    </row>
    <row r="40" spans="1:5">
      <c r="C40" s="379"/>
      <c r="D40" s="379"/>
    </row>
    <row r="41" spans="1:5">
      <c r="D41" s="379"/>
    </row>
    <row r="42" spans="1:5">
      <c r="D42" s="379"/>
    </row>
    <row r="43" spans="1:5">
      <c r="C43" s="379"/>
      <c r="D43" s="379"/>
    </row>
    <row r="44" spans="1:5">
      <c r="D44" s="379"/>
    </row>
    <row r="45" spans="1:5">
      <c r="D45" s="379"/>
    </row>
    <row r="46" spans="1:5">
      <c r="D46" s="379"/>
    </row>
    <row r="47" spans="1:5">
      <c r="D47" s="379"/>
    </row>
  </sheetData>
  <mergeCells count="3">
    <mergeCell ref="A1:E1"/>
    <mergeCell ref="A2:E2"/>
    <mergeCell ref="A3:E3"/>
  </mergeCells>
  <printOptions horizontalCentered="1"/>
  <pageMargins left="0.75" right="0.75" top="1" bottom="1" header="0.5" footer="0.5"/>
  <pageSetup scale="68" orientation="portrait"/>
  <headerFooter alignWithMargins="0">
    <oddFooter>&amp;R&amp;F
&amp;D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43">
    <pageSetUpPr fitToPage="1"/>
  </sheetPr>
  <dimension ref="A1:G15"/>
  <sheetViews>
    <sheetView zoomScale="102" zoomScaleNormal="102" workbookViewId="0">
      <pane ySplit="6" topLeftCell="A7" activePane="bottomLeft" state="frozen"/>
      <selection activeCell="D16" sqref="D16"/>
      <selection pane="bottomLeft" activeCell="D18" sqref="D18"/>
    </sheetView>
  </sheetViews>
  <sheetFormatPr defaultRowHeight="12.75"/>
  <cols>
    <col min="1" max="1" width="12.5703125" hidden="1" customWidth="1"/>
    <col min="2" max="2" width="13.42578125" customWidth="1"/>
    <col min="3" max="3" width="15.42578125" customWidth="1"/>
    <col min="4" max="4" width="37.5703125" customWidth="1"/>
    <col min="5" max="5" width="2.5703125" customWidth="1"/>
    <col min="6" max="6" width="16.5703125" customWidth="1"/>
    <col min="7" max="7" width="36.5703125" customWidth="1"/>
  </cols>
  <sheetData>
    <row r="1" spans="1:7" s="296" customFormat="1" ht="18">
      <c r="A1" s="1179" t="str">
        <f>'Review Comments'!B9</f>
        <v>COCONUT GROVE RETAIL XIII, LLC</v>
      </c>
      <c r="B1" s="1180"/>
      <c r="C1" s="1180"/>
      <c r="D1" s="1180"/>
      <c r="E1" s="1180"/>
      <c r="F1" s="1180"/>
      <c r="G1" s="1181"/>
    </row>
    <row r="2" spans="1:7" s="296" customFormat="1" ht="18">
      <c r="A2" s="1201" t="s">
        <v>715</v>
      </c>
      <c r="B2" s="1202"/>
      <c r="C2" s="1202"/>
      <c r="D2" s="1202"/>
      <c r="E2" s="1202"/>
      <c r="F2" s="1202"/>
      <c r="G2" s="1203"/>
    </row>
    <row r="3" spans="1:7" s="296" customFormat="1" ht="18.75" thickBot="1">
      <c r="A3" s="1204" t="s">
        <v>716</v>
      </c>
      <c r="B3" s="1205"/>
      <c r="C3" s="1205"/>
      <c r="D3" s="1205"/>
      <c r="E3" s="1205"/>
      <c r="F3" s="1205"/>
      <c r="G3" s="1206"/>
    </row>
    <row r="4" spans="1:7" s="296" customFormat="1"/>
    <row r="5" spans="1:7" s="296" customFormat="1" ht="13.5" thickBot="1">
      <c r="A5" s="424"/>
      <c r="B5" s="541"/>
      <c r="C5" s="541"/>
      <c r="D5" s="425"/>
      <c r="E5" s="424"/>
      <c r="F5" s="424"/>
      <c r="G5" s="424"/>
    </row>
    <row r="6" spans="1:7" s="296" customFormat="1">
      <c r="B6" s="415"/>
      <c r="C6" s="415"/>
      <c r="D6" s="415"/>
      <c r="E6" s="415"/>
      <c r="F6" s="415"/>
      <c r="G6" s="416"/>
    </row>
    <row r="7" spans="1:7" s="296" customFormat="1" ht="13.5" thickBot="1">
      <c r="B7" s="418" t="s">
        <v>40</v>
      </c>
      <c r="C7" s="418" t="s">
        <v>144</v>
      </c>
      <c r="D7" s="418" t="s">
        <v>10</v>
      </c>
      <c r="E7" s="418"/>
      <c r="F7" s="418" t="s">
        <v>11</v>
      </c>
      <c r="G7" s="419" t="s">
        <v>466</v>
      </c>
    </row>
    <row r="8" spans="1:7">
      <c r="B8" s="296"/>
      <c r="C8" s="296"/>
      <c r="D8" s="296"/>
      <c r="E8" s="296"/>
      <c r="F8" s="296"/>
      <c r="G8" s="542"/>
    </row>
    <row r="9" spans="1:7">
      <c r="B9" s="543"/>
      <c r="C9" s="544"/>
      <c r="D9" s="545"/>
      <c r="E9" s="544"/>
      <c r="F9" s="546"/>
      <c r="G9" s="547"/>
    </row>
    <row r="10" spans="1:7">
      <c r="B10" s="424"/>
      <c r="C10" s="424"/>
      <c r="D10" s="424"/>
      <c r="E10" s="424"/>
      <c r="F10" s="548"/>
      <c r="G10" s="393"/>
    </row>
    <row r="11" spans="1:7" ht="13.5" thickBot="1">
      <c r="B11" s="324"/>
      <c r="C11" s="324"/>
      <c r="D11" s="324" t="s">
        <v>717</v>
      </c>
      <c r="E11" s="324"/>
      <c r="F11" s="549">
        <f>SUM(F9:F10)</f>
        <v>0</v>
      </c>
      <c r="G11" s="399"/>
    </row>
    <row r="12" spans="1:7">
      <c r="D12" s="296"/>
    </row>
    <row r="13" spans="1:7">
      <c r="D13" s="296"/>
    </row>
    <row r="14" spans="1:7">
      <c r="D14" s="296"/>
    </row>
    <row r="15" spans="1:7">
      <c r="D15" s="296"/>
    </row>
  </sheetData>
  <mergeCells count="3">
    <mergeCell ref="A1:G1"/>
    <mergeCell ref="A2:G2"/>
    <mergeCell ref="A3:G3"/>
  </mergeCells>
  <pageMargins left="0.75" right="0.75" top="1" bottom="1" header="0.5" footer="0.5"/>
  <pageSetup orientation="landscape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6040D-C041-4F17-B182-D7AD84A4AA2B}">
  <sheetPr codeName="Sheet73"/>
  <dimension ref="A1:L37"/>
  <sheetViews>
    <sheetView topLeftCell="A3" workbookViewId="0">
      <selection activeCell="C21" sqref="C21"/>
    </sheetView>
  </sheetViews>
  <sheetFormatPr defaultRowHeight="12.75"/>
  <cols>
    <col min="1" max="1" width="12.5703125" customWidth="1"/>
    <col min="2" max="2" width="2.5703125" customWidth="1"/>
    <col min="3" max="3" width="26.42578125" customWidth="1"/>
    <col min="4" max="4" width="50.5703125" customWidth="1"/>
    <col min="5" max="5" width="8.5703125" customWidth="1"/>
    <col min="6" max="6" width="16.5703125" customWidth="1"/>
    <col min="7" max="7" width="47.42578125" customWidth="1"/>
  </cols>
  <sheetData>
    <row r="1" spans="1:12" s="296" customFormat="1" ht="18">
      <c r="A1" s="1179" t="str">
        <f>'Review Comments'!B9</f>
        <v>COCONUT GROVE RETAIL XIII, LLC</v>
      </c>
      <c r="B1" s="1180"/>
      <c r="C1" s="1180"/>
      <c r="D1" s="1180"/>
      <c r="E1" s="1180"/>
      <c r="F1" s="1180"/>
      <c r="G1" s="1181"/>
    </row>
    <row r="2" spans="1:12" s="296" customFormat="1" ht="18">
      <c r="A2" s="1201" t="s">
        <v>719</v>
      </c>
      <c r="B2" s="1202"/>
      <c r="C2" s="1202"/>
      <c r="D2" s="1202"/>
      <c r="E2" s="1202"/>
      <c r="F2" s="1202"/>
      <c r="G2" s="1203"/>
    </row>
    <row r="3" spans="1:12" s="296" customFormat="1" ht="18.75" thickBot="1">
      <c r="A3" s="1204" t="str">
        <f>'Review Comments'!B11</f>
        <v>FOR THE MONTH 07/31/2026</v>
      </c>
      <c r="B3" s="1205"/>
      <c r="C3" s="1205"/>
      <c r="D3" s="1205"/>
      <c r="E3" s="1205"/>
      <c r="F3" s="1205"/>
      <c r="G3" s="1206"/>
    </row>
    <row r="4" spans="1:12" s="296" customFormat="1"/>
    <row r="5" spans="1:12" s="296" customFormat="1"/>
    <row r="6" spans="1:12" s="296" customFormat="1"/>
    <row r="7" spans="1:12" s="296" customFormat="1" ht="13.5" thickBot="1"/>
    <row r="8" spans="1:12" s="296" customFormat="1">
      <c r="A8" s="414"/>
      <c r="B8" s="415"/>
      <c r="C8" s="415"/>
      <c r="D8" s="415"/>
      <c r="E8" s="415"/>
      <c r="F8" s="415"/>
      <c r="G8" s="416"/>
    </row>
    <row r="9" spans="1:12" s="296" customFormat="1" ht="26.25" thickBot="1">
      <c r="A9" s="417" t="s">
        <v>303</v>
      </c>
      <c r="B9" s="418"/>
      <c r="C9" s="418" t="s">
        <v>471</v>
      </c>
      <c r="D9" s="418" t="s">
        <v>10</v>
      </c>
      <c r="E9" s="418"/>
      <c r="F9" s="418" t="s">
        <v>11</v>
      </c>
      <c r="G9" s="419" t="s">
        <v>466</v>
      </c>
      <c r="H9" s="297"/>
      <c r="I9" s="297"/>
      <c r="J9" s="297"/>
      <c r="K9" s="297"/>
      <c r="L9" s="297"/>
    </row>
    <row r="10" spans="1:12" s="296" customFormat="1">
      <c r="A10" s="301"/>
      <c r="G10" s="542"/>
    </row>
    <row r="11" spans="1:12" s="296" customFormat="1" hidden="1">
      <c r="A11" s="420">
        <v>43068</v>
      </c>
      <c r="B11" s="326"/>
      <c r="C11" s="326" t="s">
        <v>703</v>
      </c>
      <c r="D11" s="598" t="s">
        <v>704</v>
      </c>
      <c r="E11" s="424"/>
      <c r="F11" s="645">
        <v>0</v>
      </c>
      <c r="G11" s="393" t="s">
        <v>705</v>
      </c>
    </row>
    <row r="12" spans="1:12" s="296" customFormat="1" hidden="1">
      <c r="A12" s="420">
        <v>43068</v>
      </c>
      <c r="B12" s="424"/>
      <c r="C12" s="326" t="s">
        <v>703</v>
      </c>
      <c r="D12" s="598" t="s">
        <v>706</v>
      </c>
      <c r="E12" s="424"/>
      <c r="F12" s="548">
        <v>0</v>
      </c>
      <c r="G12" s="393" t="s">
        <v>705</v>
      </c>
    </row>
    <row r="13" spans="1:12" s="296" customFormat="1" hidden="1">
      <c r="A13" s="420">
        <v>43068</v>
      </c>
      <c r="B13" s="424"/>
      <c r="C13" s="326" t="s">
        <v>703</v>
      </c>
      <c r="D13" s="598" t="s">
        <v>707</v>
      </c>
      <c r="E13" s="643"/>
      <c r="F13" s="548">
        <v>0</v>
      </c>
      <c r="G13" s="393" t="s">
        <v>705</v>
      </c>
    </row>
    <row r="14" spans="1:12" s="296" customFormat="1" hidden="1">
      <c r="A14" s="420">
        <v>43068</v>
      </c>
      <c r="B14" s="424"/>
      <c r="C14" s="326" t="s">
        <v>703</v>
      </c>
      <c r="D14" s="598" t="s">
        <v>708</v>
      </c>
      <c r="E14" s="424"/>
      <c r="F14" s="645">
        <f>-530+74.31+74.46+74.39+74.46-267.62+500</f>
        <v>0</v>
      </c>
      <c r="G14" s="393" t="s">
        <v>705</v>
      </c>
    </row>
    <row r="15" spans="1:12" s="296" customFormat="1" hidden="1">
      <c r="A15" s="420">
        <v>43068</v>
      </c>
      <c r="B15" s="424"/>
      <c r="C15" s="326" t="s">
        <v>703</v>
      </c>
      <c r="D15" s="598" t="s">
        <v>709</v>
      </c>
      <c r="E15" s="424"/>
      <c r="F15" s="548">
        <v>0</v>
      </c>
      <c r="G15" s="393" t="s">
        <v>705</v>
      </c>
    </row>
    <row r="16" spans="1:12" s="296" customFormat="1" hidden="1">
      <c r="A16" s="420">
        <v>43068</v>
      </c>
      <c r="B16" s="424"/>
      <c r="C16" s="326" t="s">
        <v>703</v>
      </c>
      <c r="D16" s="598" t="s">
        <v>710</v>
      </c>
      <c r="E16" s="424"/>
      <c r="F16" s="548">
        <v>0</v>
      </c>
      <c r="G16" s="393" t="s">
        <v>705</v>
      </c>
    </row>
    <row r="17" spans="1:7" s="296" customFormat="1" hidden="1">
      <c r="A17" s="420">
        <v>43068</v>
      </c>
      <c r="B17" s="424"/>
      <c r="C17" s="326" t="s">
        <v>703</v>
      </c>
      <c r="D17" s="598" t="s">
        <v>711</v>
      </c>
      <c r="E17" s="424"/>
      <c r="F17" s="548">
        <f>500-500</f>
        <v>0</v>
      </c>
      <c r="G17" s="393" t="s">
        <v>705</v>
      </c>
    </row>
    <row r="18" spans="1:7" s="296" customFormat="1" hidden="1">
      <c r="A18" s="420">
        <v>43087</v>
      </c>
      <c r="B18" s="424"/>
      <c r="C18" s="326" t="s">
        <v>703</v>
      </c>
      <c r="D18" s="598" t="s">
        <v>706</v>
      </c>
      <c r="E18" s="644"/>
      <c r="F18" s="645">
        <v>0</v>
      </c>
      <c r="G18" s="393" t="s">
        <v>705</v>
      </c>
    </row>
    <row r="19" spans="1:7" s="296" customFormat="1" hidden="1">
      <c r="A19" s="420">
        <v>43087</v>
      </c>
      <c r="B19" s="424"/>
      <c r="C19" s="326" t="s">
        <v>703</v>
      </c>
      <c r="D19" s="598" t="s">
        <v>711</v>
      </c>
      <c r="E19" s="424"/>
      <c r="F19" s="548">
        <v>0</v>
      </c>
      <c r="G19" s="393" t="s">
        <v>705</v>
      </c>
    </row>
    <row r="20" spans="1:7" s="296" customFormat="1">
      <c r="A20" s="310">
        <v>45455</v>
      </c>
      <c r="B20" s="424"/>
      <c r="C20" s="744" t="s">
        <v>720</v>
      </c>
      <c r="D20" s="298" t="s">
        <v>721</v>
      </c>
      <c r="E20" s="424"/>
      <c r="F20" s="585">
        <v>75000</v>
      </c>
      <c r="G20" s="393"/>
    </row>
    <row r="21" spans="1:7" s="296" customFormat="1">
      <c r="A21" s="310">
        <v>45539</v>
      </c>
      <c r="B21" s="424"/>
      <c r="C21" s="424"/>
      <c r="D21" s="298" t="s">
        <v>722</v>
      </c>
      <c r="E21" s="424"/>
      <c r="F21" s="548">
        <v>-75000</v>
      </c>
      <c r="G21" s="393"/>
    </row>
    <row r="22" spans="1:7" s="296" customFormat="1">
      <c r="A22" s="562"/>
      <c r="B22" s="424"/>
      <c r="C22" s="424"/>
      <c r="D22" s="424"/>
      <c r="E22" s="424"/>
      <c r="F22" s="548"/>
      <c r="G22" s="393"/>
    </row>
    <row r="23" spans="1:7" s="305" customFormat="1" ht="13.5" thickBot="1">
      <c r="A23" s="564"/>
      <c r="B23" s="324"/>
      <c r="C23" s="324"/>
      <c r="D23" s="324" t="s">
        <v>468</v>
      </c>
      <c r="E23" s="324"/>
      <c r="F23" s="549">
        <f>SUM(F11:F21)</f>
        <v>0</v>
      </c>
      <c r="G23" s="399"/>
    </row>
    <row r="24" spans="1:7" s="296" customFormat="1">
      <c r="A24" s="424"/>
      <c r="B24" s="424"/>
      <c r="C24" s="424"/>
      <c r="D24" s="424"/>
      <c r="E24" s="424"/>
      <c r="F24" s="548"/>
      <c r="G24" s="424"/>
    </row>
    <row r="25" spans="1:7" s="296" customFormat="1">
      <c r="A25" s="424"/>
      <c r="B25" s="541"/>
      <c r="C25" s="541"/>
      <c r="D25" s="425"/>
      <c r="E25" s="424"/>
      <c r="F25" s="604"/>
      <c r="G25" s="424"/>
    </row>
    <row r="26" spans="1:7" s="296" customFormat="1">
      <c r="D26" s="298"/>
      <c r="F26" s="587"/>
    </row>
    <row r="27" spans="1:7" s="296" customFormat="1"/>
    <row r="28" spans="1:7">
      <c r="B28" s="307"/>
      <c r="C28" s="307"/>
      <c r="D28" s="296"/>
    </row>
    <row r="29" spans="1:7">
      <c r="D29" s="296"/>
    </row>
    <row r="30" spans="1:7">
      <c r="C30" s="296"/>
      <c r="D30" s="296"/>
    </row>
    <row r="31" spans="1:7">
      <c r="D31" s="296"/>
    </row>
    <row r="32" spans="1:7">
      <c r="D32" s="296"/>
    </row>
    <row r="33" spans="3:4">
      <c r="C33" s="296"/>
      <c r="D33" s="296"/>
    </row>
    <row r="34" spans="3:4">
      <c r="D34" s="296"/>
    </row>
    <row r="35" spans="3:4">
      <c r="D35" s="296"/>
    </row>
    <row r="36" spans="3:4">
      <c r="D36" s="296"/>
    </row>
    <row r="37" spans="3:4">
      <c r="D37" s="296"/>
    </row>
  </sheetData>
  <mergeCells count="3">
    <mergeCell ref="A1:G1"/>
    <mergeCell ref="A2:G2"/>
    <mergeCell ref="A3:G3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71CE1-7978-4606-ACEF-C61F4C0680E3}">
  <sheetPr codeName="Sheet74"/>
  <dimension ref="A1:M86"/>
  <sheetViews>
    <sheetView topLeftCell="B1" workbookViewId="0">
      <selection activeCell="C11" sqref="C11"/>
    </sheetView>
  </sheetViews>
  <sheetFormatPr defaultRowHeight="12.75"/>
  <cols>
    <col min="1" max="1" width="12.5703125" hidden="1" customWidth="1"/>
    <col min="2" max="2" width="18.42578125" customWidth="1"/>
    <col min="3" max="3" width="15.5703125" customWidth="1"/>
    <col min="4" max="4" width="31" customWidth="1"/>
    <col min="5" max="5" width="48.42578125" bestFit="1" customWidth="1"/>
    <col min="6" max="6" width="2.5703125" customWidth="1"/>
    <col min="7" max="7" width="15.5703125" style="442" customWidth="1"/>
    <col min="8" max="8" width="12.42578125" customWidth="1"/>
    <col min="9" max="9" width="37.5703125" bestFit="1" customWidth="1"/>
    <col min="10" max="10" width="10.5703125" customWidth="1"/>
    <col min="11" max="11" width="32.42578125" customWidth="1"/>
    <col min="12" max="12" width="10.42578125" customWidth="1"/>
    <col min="13" max="13" width="10.5703125" customWidth="1"/>
  </cols>
  <sheetData>
    <row r="1" spans="1:13" s="296" customFormat="1" ht="18">
      <c r="A1" s="1222" t="str">
        <f>'Review Comments'!B9</f>
        <v>COCONUT GROVE RETAIL XIII, LLC</v>
      </c>
      <c r="B1" s="1223"/>
      <c r="C1" s="1223"/>
      <c r="D1" s="1223"/>
      <c r="E1" s="1223"/>
      <c r="F1" s="1223"/>
      <c r="G1" s="1224"/>
    </row>
    <row r="2" spans="1:13" s="296" customFormat="1" ht="18">
      <c r="A2" s="1225" t="s">
        <v>723</v>
      </c>
      <c r="B2" s="1202"/>
      <c r="C2" s="1202"/>
      <c r="D2" s="1202"/>
      <c r="E2" s="1202"/>
      <c r="F2" s="1202"/>
      <c r="G2" s="1203"/>
    </row>
    <row r="3" spans="1:13" s="296" customFormat="1" ht="18.75" thickBot="1">
      <c r="A3" s="1226" t="str">
        <f>'Review Comments'!B11</f>
        <v>FOR THE MONTH 07/31/2026</v>
      </c>
      <c r="B3" s="1227"/>
      <c r="C3" s="1227"/>
      <c r="D3" s="1227"/>
      <c r="E3" s="1227"/>
      <c r="F3" s="1227"/>
      <c r="G3" s="1228"/>
    </row>
    <row r="4" spans="1:13" s="296" customFormat="1">
      <c r="G4" s="430"/>
    </row>
    <row r="5" spans="1:13" s="296" customFormat="1" ht="13.5" thickBot="1">
      <c r="G5" s="430"/>
    </row>
    <row r="6" spans="1:13" s="296" customFormat="1">
      <c r="A6" s="431"/>
      <c r="B6" s="431"/>
      <c r="C6" s="432"/>
      <c r="D6" s="432"/>
      <c r="E6" s="432"/>
      <c r="F6" s="432"/>
      <c r="G6" s="433"/>
    </row>
    <row r="7" spans="1:13" s="305" customFormat="1" ht="26.25" thickBot="1">
      <c r="A7" s="417" t="s">
        <v>303</v>
      </c>
      <c r="B7" s="417" t="s">
        <v>544</v>
      </c>
      <c r="C7" s="418" t="s">
        <v>119</v>
      </c>
      <c r="D7" s="418" t="s">
        <v>471</v>
      </c>
      <c r="E7" s="418" t="s">
        <v>10</v>
      </c>
      <c r="F7" s="418"/>
      <c r="G7" s="554" t="s">
        <v>11</v>
      </c>
      <c r="H7" s="434"/>
      <c r="I7" s="434"/>
      <c r="J7" s="434"/>
      <c r="K7" s="434"/>
      <c r="L7" s="434"/>
      <c r="M7" s="434"/>
    </row>
    <row r="8" spans="1:13" s="305" customFormat="1">
      <c r="A8" s="476"/>
      <c r="B8" s="476"/>
      <c r="C8" s="477"/>
      <c r="D8" s="477"/>
      <c r="E8" s="477"/>
      <c r="F8" s="477"/>
      <c r="G8" s="478"/>
      <c r="H8" s="434"/>
      <c r="I8" s="434"/>
      <c r="J8" s="434"/>
      <c r="K8" s="434"/>
      <c r="L8" s="434"/>
      <c r="M8" s="434"/>
    </row>
    <row r="9" spans="1:13" s="296" customFormat="1" ht="14.25" customHeight="1">
      <c r="A9" s="435"/>
      <c r="B9" s="675">
        <v>70110</v>
      </c>
      <c r="C9" s="749">
        <v>45503</v>
      </c>
      <c r="D9" s="676" t="s">
        <v>724</v>
      </c>
      <c r="E9" s="676" t="s">
        <v>725</v>
      </c>
      <c r="F9" s="669"/>
      <c r="G9" s="723">
        <v>25000</v>
      </c>
      <c r="H9" s="669"/>
      <c r="I9" s="669"/>
      <c r="J9" s="669"/>
      <c r="K9" s="669"/>
      <c r="L9" s="669"/>
      <c r="M9" s="669"/>
    </row>
    <row r="10" spans="1:13" s="296" customFormat="1" ht="14.25" customHeight="1">
      <c r="A10" s="437"/>
      <c r="B10" s="556"/>
      <c r="C10" s="755">
        <v>45565</v>
      </c>
      <c r="D10" s="557"/>
      <c r="E10" s="676" t="s">
        <v>726</v>
      </c>
      <c r="F10" s="559"/>
      <c r="G10" s="754">
        <v>-25000</v>
      </c>
    </row>
    <row r="11" spans="1:13" s="296" customFormat="1" ht="14.25" customHeight="1">
      <c r="A11" s="437"/>
      <c r="B11" s="556"/>
      <c r="D11" s="557"/>
      <c r="E11" s="676"/>
      <c r="F11" s="559"/>
      <c r="G11" s="637"/>
    </row>
    <row r="12" spans="1:13" s="296" customFormat="1" ht="13.5" thickBot="1">
      <c r="A12" s="438"/>
      <c r="B12" s="438"/>
      <c r="C12" s="439"/>
      <c r="D12" s="439"/>
      <c r="E12" s="304"/>
      <c r="F12" s="304"/>
      <c r="G12" s="440">
        <f>SUM(G9:G10)</f>
        <v>0</v>
      </c>
    </row>
    <row r="13" spans="1:13">
      <c r="A13" s="296"/>
      <c r="B13" s="296"/>
      <c r="C13" s="296"/>
      <c r="D13" s="296"/>
      <c r="E13" s="296"/>
      <c r="F13" s="296"/>
      <c r="G13" s="430"/>
      <c r="L13" s="296"/>
    </row>
    <row r="14" spans="1:13">
      <c r="A14" s="441"/>
      <c r="B14" s="296"/>
      <c r="C14" s="296"/>
      <c r="D14" s="296"/>
      <c r="L14" s="296"/>
    </row>
    <row r="15" spans="1:13">
      <c r="A15" s="441"/>
      <c r="B15" s="296"/>
      <c r="C15" s="296"/>
      <c r="D15" s="296"/>
      <c r="L15" s="296"/>
    </row>
    <row r="16" spans="1:13">
      <c r="A16" s="441"/>
      <c r="B16" s="296"/>
      <c r="C16" s="296"/>
      <c r="D16" s="296"/>
      <c r="L16" s="296"/>
    </row>
    <row r="17" spans="1:12">
      <c r="A17" s="441"/>
      <c r="B17" s="296"/>
      <c r="C17" s="296"/>
      <c r="D17" s="296"/>
      <c r="L17" s="296"/>
    </row>
    <row r="18" spans="1:12">
      <c r="A18" s="441"/>
      <c r="B18" s="296"/>
      <c r="C18" s="296"/>
      <c r="D18" s="296"/>
      <c r="L18" s="296"/>
    </row>
    <row r="19" spans="1:12">
      <c r="A19" s="441"/>
      <c r="B19" s="296"/>
      <c r="C19" s="296"/>
      <c r="D19" s="296"/>
      <c r="L19" s="296"/>
    </row>
    <row r="20" spans="1:12">
      <c r="A20" s="441"/>
      <c r="B20" s="296"/>
      <c r="C20" s="296"/>
      <c r="D20" s="296"/>
      <c r="L20" s="296"/>
    </row>
    <row r="21" spans="1:12">
      <c r="A21" s="441"/>
      <c r="B21" s="296"/>
      <c r="C21" s="296"/>
      <c r="D21" s="296"/>
      <c r="L21" s="296"/>
    </row>
    <row r="22" spans="1:12">
      <c r="A22" s="441"/>
      <c r="B22" s="296"/>
      <c r="C22" s="296"/>
      <c r="D22" s="296"/>
      <c r="L22" s="296"/>
    </row>
    <row r="23" spans="1:12">
      <c r="A23" s="441"/>
      <c r="B23" s="296"/>
      <c r="C23" s="296"/>
      <c r="D23" s="296"/>
      <c r="L23" s="296"/>
    </row>
    <row r="24" spans="1:12">
      <c r="A24" s="441"/>
      <c r="B24" s="296"/>
      <c r="C24" s="296"/>
      <c r="D24" s="296"/>
      <c r="L24" s="296"/>
    </row>
    <row r="25" spans="1:12">
      <c r="A25" s="441"/>
      <c r="B25" s="296"/>
      <c r="C25" s="296"/>
      <c r="D25" s="296"/>
      <c r="L25" s="296"/>
    </row>
    <row r="26" spans="1:12">
      <c r="A26" s="441"/>
      <c r="B26" s="296"/>
      <c r="C26" s="296"/>
      <c r="D26" s="296"/>
      <c r="L26" s="296"/>
    </row>
    <row r="27" spans="1:12">
      <c r="A27" s="441"/>
      <c r="B27" s="296"/>
      <c r="C27" s="296"/>
      <c r="D27" s="296"/>
      <c r="L27" s="296"/>
    </row>
    <row r="28" spans="1:12">
      <c r="A28" s="441"/>
      <c r="B28" s="296"/>
      <c r="C28" s="296"/>
      <c r="D28" s="296"/>
      <c r="L28" s="296"/>
    </row>
    <row r="29" spans="1:12">
      <c r="A29" s="441"/>
      <c r="B29" s="296"/>
      <c r="C29" s="296"/>
      <c r="D29" s="296"/>
      <c r="L29" s="296"/>
    </row>
    <row r="30" spans="1:12">
      <c r="A30" s="441"/>
      <c r="B30" s="296"/>
      <c r="C30" s="296"/>
      <c r="D30" s="296"/>
      <c r="L30" s="296"/>
    </row>
    <row r="31" spans="1:12">
      <c r="A31" s="441"/>
      <c r="B31" s="296"/>
      <c r="C31" s="296"/>
      <c r="D31" s="296"/>
      <c r="L31" s="296"/>
    </row>
    <row r="32" spans="1:12">
      <c r="A32" s="441"/>
      <c r="B32" s="296"/>
      <c r="C32" s="296"/>
      <c r="D32" s="296"/>
      <c r="L32" s="296"/>
    </row>
    <row r="33" spans="1:12">
      <c r="A33" s="441"/>
      <c r="B33" s="296"/>
      <c r="C33" s="296"/>
      <c r="D33" s="296"/>
      <c r="L33" s="296"/>
    </row>
    <row r="34" spans="1:12">
      <c r="A34" s="441"/>
      <c r="B34" s="296"/>
      <c r="C34" s="296"/>
      <c r="D34" s="296"/>
      <c r="L34" s="296"/>
    </row>
    <row r="35" spans="1:12">
      <c r="A35" s="441"/>
      <c r="B35" s="296"/>
      <c r="C35" s="296"/>
      <c r="D35" s="296"/>
      <c r="L35" s="296"/>
    </row>
    <row r="36" spans="1:12">
      <c r="A36" s="441"/>
      <c r="B36" s="296"/>
      <c r="C36" s="296"/>
      <c r="D36" s="296"/>
      <c r="L36" s="296"/>
    </row>
    <row r="37" spans="1:12">
      <c r="A37" s="441"/>
      <c r="B37" s="296"/>
      <c r="C37" s="296"/>
      <c r="D37" s="296"/>
      <c r="L37" s="296"/>
    </row>
    <row r="38" spans="1:12">
      <c r="A38" s="441"/>
      <c r="B38" s="296"/>
      <c r="C38" s="296"/>
      <c r="D38" s="296"/>
      <c r="L38" s="296"/>
    </row>
    <row r="39" spans="1:12">
      <c r="A39" s="441"/>
      <c r="B39" s="296"/>
      <c r="C39" s="296"/>
      <c r="D39" s="296"/>
      <c r="L39" s="296"/>
    </row>
    <row r="40" spans="1:12">
      <c r="A40" s="441"/>
      <c r="B40" s="296"/>
      <c r="C40" s="296"/>
      <c r="D40" s="296"/>
      <c r="L40" s="296"/>
    </row>
    <row r="41" spans="1:12">
      <c r="A41" s="441"/>
      <c r="B41" s="296"/>
      <c r="C41" s="296"/>
      <c r="D41" s="296"/>
      <c r="L41" s="296"/>
    </row>
    <row r="42" spans="1:12">
      <c r="A42" s="441"/>
      <c r="B42" s="296"/>
      <c r="C42" s="296"/>
      <c r="D42" s="296"/>
      <c r="L42" s="296"/>
    </row>
    <row r="43" spans="1:12">
      <c r="A43" s="441"/>
      <c r="B43" s="296"/>
      <c r="C43" s="296"/>
      <c r="D43" s="296"/>
      <c r="L43" s="296"/>
    </row>
    <row r="44" spans="1:12">
      <c r="E44" s="296"/>
      <c r="L44" s="296"/>
    </row>
    <row r="45" spans="1:12" ht="13.5" thickBot="1">
      <c r="E45" s="1"/>
      <c r="F45" s="1"/>
      <c r="G45" s="443"/>
      <c r="L45" s="296"/>
    </row>
    <row r="46" spans="1:12" ht="13.5" thickBot="1">
      <c r="B46" s="1229" t="s">
        <v>727</v>
      </c>
      <c r="C46" s="1230"/>
      <c r="D46" s="1230"/>
      <c r="E46" s="1231"/>
      <c r="L46" s="296"/>
    </row>
    <row r="47" spans="1:12">
      <c r="B47" s="618" t="s">
        <v>728</v>
      </c>
      <c r="C47" s="648" t="s">
        <v>729</v>
      </c>
      <c r="D47" s="648" t="s">
        <v>730</v>
      </c>
      <c r="E47" s="649"/>
      <c r="L47" s="296"/>
    </row>
    <row r="48" spans="1:12">
      <c r="B48" s="629"/>
      <c r="C48" s="631">
        <v>5500873513</v>
      </c>
      <c r="D48" s="578">
        <v>55140</v>
      </c>
      <c r="E48" s="630" t="s">
        <v>731</v>
      </c>
    </row>
    <row r="49" spans="2:8">
      <c r="B49" s="621"/>
      <c r="C49" s="333">
        <v>5500874513</v>
      </c>
      <c r="D49" s="5">
        <v>55140</v>
      </c>
      <c r="E49" s="620" t="s">
        <v>731</v>
      </c>
    </row>
    <row r="50" spans="2:8">
      <c r="B50" s="621"/>
      <c r="C50" s="632">
        <v>8546278012</v>
      </c>
      <c r="D50" s="5">
        <v>55140</v>
      </c>
      <c r="E50" s="620" t="s">
        <v>731</v>
      </c>
    </row>
    <row r="51" spans="2:8">
      <c r="B51" s="621"/>
      <c r="C51" s="632">
        <v>8546278910</v>
      </c>
      <c r="D51" s="5">
        <v>55140</v>
      </c>
      <c r="E51" s="620" t="s">
        <v>731</v>
      </c>
    </row>
    <row r="52" spans="2:8">
      <c r="B52" s="621"/>
      <c r="C52" s="632">
        <v>8546274910</v>
      </c>
      <c r="D52" s="5">
        <v>55140</v>
      </c>
      <c r="E52" s="620" t="s">
        <v>731</v>
      </c>
    </row>
    <row r="53" spans="2:8">
      <c r="B53" s="621"/>
      <c r="C53" s="632">
        <v>8546276013</v>
      </c>
      <c r="D53" s="5">
        <v>55140</v>
      </c>
      <c r="E53" s="620" t="s">
        <v>731</v>
      </c>
    </row>
    <row r="54" spans="2:8">
      <c r="B54" s="621"/>
      <c r="C54" s="632">
        <v>8546360013</v>
      </c>
      <c r="D54" s="5">
        <v>55140</v>
      </c>
      <c r="E54" s="620" t="s">
        <v>731</v>
      </c>
    </row>
    <row r="55" spans="2:8">
      <c r="B55" s="621"/>
      <c r="D55" s="5"/>
      <c r="E55" s="620"/>
    </row>
    <row r="56" spans="2:8">
      <c r="B56" s="621"/>
      <c r="D56" s="5"/>
      <c r="E56" s="620"/>
    </row>
    <row r="57" spans="2:8">
      <c r="B57" s="621" t="s">
        <v>732</v>
      </c>
      <c r="C57" t="s">
        <v>733</v>
      </c>
      <c r="D57" s="5">
        <v>55150</v>
      </c>
      <c r="E57" s="620" t="s">
        <v>734</v>
      </c>
      <c r="G57" s="442" t="s">
        <v>735</v>
      </c>
      <c r="H57" t="s">
        <v>736</v>
      </c>
    </row>
    <row r="58" spans="2:8">
      <c r="B58" s="622" t="s">
        <v>737</v>
      </c>
      <c r="C58" t="s">
        <v>738</v>
      </c>
      <c r="D58" s="681">
        <v>55150</v>
      </c>
      <c r="E58" s="620" t="s">
        <v>734</v>
      </c>
      <c r="G58" t="s">
        <v>739</v>
      </c>
      <c r="H58" t="s">
        <v>736</v>
      </c>
    </row>
    <row r="59" spans="2:8">
      <c r="B59" s="623"/>
      <c r="C59" s="336"/>
      <c r="D59" s="333"/>
      <c r="E59" s="624"/>
      <c r="G59"/>
    </row>
    <row r="60" spans="2:8">
      <c r="B60" s="621"/>
      <c r="C60" s="632" t="s">
        <v>740</v>
      </c>
      <c r="D60" s="5">
        <v>55180</v>
      </c>
      <c r="E60" s="620" t="s">
        <v>741</v>
      </c>
    </row>
    <row r="61" spans="2:8">
      <c r="B61" s="621"/>
      <c r="C61" s="632" t="s">
        <v>742</v>
      </c>
      <c r="D61" s="5">
        <v>55180</v>
      </c>
      <c r="E61" s="620" t="s">
        <v>741</v>
      </c>
    </row>
    <row r="62" spans="2:8">
      <c r="B62" s="621"/>
      <c r="C62" s="632" t="s">
        <v>743</v>
      </c>
      <c r="D62" s="5">
        <v>55180</v>
      </c>
      <c r="E62" s="620" t="s">
        <v>741</v>
      </c>
    </row>
    <row r="63" spans="2:8">
      <c r="B63" s="619"/>
      <c r="D63" s="5"/>
      <c r="E63" s="620"/>
    </row>
    <row r="64" spans="2:8" ht="15.75" customHeight="1" thickBot="1">
      <c r="B64" s="625"/>
      <c r="C64" s="60"/>
      <c r="D64" s="626"/>
      <c r="E64" s="627"/>
    </row>
    <row r="66" spans="2:5" ht="13.5" thickBot="1"/>
    <row r="67" spans="2:5" ht="13.5" thickBot="1">
      <c r="B67" s="1229" t="s">
        <v>744</v>
      </c>
      <c r="C67" s="1230"/>
      <c r="D67" s="1230"/>
      <c r="E67" s="1231"/>
    </row>
    <row r="68" spans="2:5">
      <c r="B68" s="618" t="s">
        <v>728</v>
      </c>
      <c r="C68" s="648" t="s">
        <v>729</v>
      </c>
      <c r="D68" s="648" t="s">
        <v>730</v>
      </c>
      <c r="E68" s="649"/>
    </row>
    <row r="69" spans="2:5">
      <c r="B69" s="619"/>
      <c r="E69" s="620"/>
    </row>
    <row r="70" spans="2:5">
      <c r="B70" t="s">
        <v>745</v>
      </c>
      <c r="C70" s="628" t="s">
        <v>746</v>
      </c>
      <c r="D70" s="5">
        <v>55110</v>
      </c>
      <c r="E70" s="620"/>
    </row>
    <row r="71" spans="2:5">
      <c r="B71" t="s">
        <v>747</v>
      </c>
      <c r="C71" s="628" t="s">
        <v>748</v>
      </c>
      <c r="D71" s="5">
        <v>55110</v>
      </c>
      <c r="E71" s="620"/>
    </row>
    <row r="72" spans="2:5">
      <c r="B72" t="s">
        <v>749</v>
      </c>
      <c r="C72" s="628" t="s">
        <v>750</v>
      </c>
      <c r="D72" s="5">
        <v>55110</v>
      </c>
      <c r="E72" s="624"/>
    </row>
    <row r="73" spans="2:5">
      <c r="B73" t="s">
        <v>751</v>
      </c>
      <c r="C73" s="628" t="s">
        <v>752</v>
      </c>
      <c r="D73" s="5">
        <v>55110</v>
      </c>
      <c r="E73" s="620"/>
    </row>
    <row r="74" spans="2:5">
      <c r="B74" t="s">
        <v>753</v>
      </c>
      <c r="C74" s="628" t="s">
        <v>754</v>
      </c>
      <c r="D74" s="5">
        <v>55110</v>
      </c>
      <c r="E74" s="620"/>
    </row>
    <row r="75" spans="2:5">
      <c r="B75" s="621" t="s">
        <v>755</v>
      </c>
      <c r="C75" s="628" t="s">
        <v>756</v>
      </c>
      <c r="D75" s="5">
        <v>55110</v>
      </c>
      <c r="E75" s="620"/>
    </row>
    <row r="76" spans="2:5">
      <c r="B76" t="s">
        <v>757</v>
      </c>
      <c r="C76" s="628" t="s">
        <v>758</v>
      </c>
      <c r="D76" s="5">
        <v>55110</v>
      </c>
      <c r="E76" s="620"/>
    </row>
    <row r="77" spans="2:5" ht="13.5" thickBot="1">
      <c r="B77" s="625"/>
      <c r="C77" s="60"/>
      <c r="D77" s="626"/>
      <c r="E77" s="627"/>
    </row>
    <row r="78" spans="2:5">
      <c r="C78" s="1" t="s">
        <v>759</v>
      </c>
    </row>
    <row r="79" spans="2:5">
      <c r="C79" s="333"/>
    </row>
    <row r="80" spans="2:5">
      <c r="B80" t="s">
        <v>747</v>
      </c>
      <c r="C80" s="691" t="s">
        <v>760</v>
      </c>
      <c r="D80" t="s">
        <v>761</v>
      </c>
    </row>
    <row r="81" spans="2:4">
      <c r="B81" t="s">
        <v>745</v>
      </c>
      <c r="C81" s="691" t="s">
        <v>762</v>
      </c>
    </row>
    <row r="82" spans="2:4">
      <c r="B82" t="s">
        <v>753</v>
      </c>
      <c r="C82" s="691" t="s">
        <v>763</v>
      </c>
      <c r="D82" t="s">
        <v>761</v>
      </c>
    </row>
    <row r="83" spans="2:4">
      <c r="B83" t="s">
        <v>757</v>
      </c>
      <c r="C83" s="691" t="s">
        <v>764</v>
      </c>
    </row>
    <row r="84" spans="2:4">
      <c r="B84" t="s">
        <v>751</v>
      </c>
      <c r="C84" s="691" t="s">
        <v>765</v>
      </c>
    </row>
    <row r="85" spans="2:4">
      <c r="B85" t="s">
        <v>749</v>
      </c>
      <c r="C85" s="691" t="s">
        <v>766</v>
      </c>
    </row>
    <row r="86" spans="2:4">
      <c r="B86" t="s">
        <v>755</v>
      </c>
      <c r="C86" s="691" t="s">
        <v>767</v>
      </c>
      <c r="D86" t="s">
        <v>761</v>
      </c>
    </row>
  </sheetData>
  <mergeCells count="5">
    <mergeCell ref="A1:G1"/>
    <mergeCell ref="A2:G2"/>
    <mergeCell ref="A3:G3"/>
    <mergeCell ref="B46:E46"/>
    <mergeCell ref="B67:E67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B57B5-D154-4BEB-97CB-7C3417805475}">
  <sheetPr codeName="Sheet50"/>
  <dimension ref="A1:K33"/>
  <sheetViews>
    <sheetView zoomScale="85" zoomScaleNormal="85" workbookViewId="0">
      <pane ySplit="9" topLeftCell="A10" activePane="bottomLeft" state="frozen"/>
      <selection pane="bottomLeft" sqref="A1:F1"/>
    </sheetView>
  </sheetViews>
  <sheetFormatPr defaultColWidth="9.42578125" defaultRowHeight="12.75"/>
  <cols>
    <col min="1" max="1" width="11.140625" style="402" customWidth="1"/>
    <col min="2" max="2" width="12.5703125" style="402" bestFit="1" customWidth="1"/>
    <col min="3" max="3" width="42.42578125" style="402" customWidth="1"/>
    <col min="4" max="4" width="34.5703125" style="402" bestFit="1" customWidth="1"/>
    <col min="5" max="5" width="2.42578125" style="402" customWidth="1"/>
    <col min="6" max="6" width="12.42578125" style="402" customWidth="1"/>
    <col min="7" max="7" width="11.140625" style="402" bestFit="1" customWidth="1"/>
    <col min="8" max="16384" width="9.42578125" style="402"/>
  </cols>
  <sheetData>
    <row r="1" spans="1:11" s="379" customFormat="1" ht="18">
      <c r="A1" s="1179" t="str">
        <f>'Review Comments'!B9</f>
        <v>COCONUT GROVE RETAIL XIII, LLC</v>
      </c>
      <c r="B1" s="1180"/>
      <c r="C1" s="1180"/>
      <c r="D1" s="1180"/>
      <c r="E1" s="1180"/>
      <c r="F1" s="1181"/>
    </row>
    <row r="2" spans="1:11" s="379" customFormat="1" ht="18">
      <c r="A2" s="1182" t="s">
        <v>773</v>
      </c>
      <c r="B2" s="1183"/>
      <c r="C2" s="1183"/>
      <c r="D2" s="1183"/>
      <c r="E2" s="1183"/>
      <c r="F2" s="1184"/>
    </row>
    <row r="3" spans="1:11" s="379" customFormat="1" ht="18.75" thickBot="1">
      <c r="A3" s="1185" t="str">
        <f>'Review Comments'!B11</f>
        <v>FOR THE MONTH 07/31/2026</v>
      </c>
      <c r="B3" s="1186"/>
      <c r="C3" s="1186"/>
      <c r="D3" s="1186"/>
      <c r="E3" s="1186"/>
      <c r="F3" s="1187"/>
    </row>
    <row r="4" spans="1:11" s="379" customFormat="1"/>
    <row r="5" spans="1:11" s="379" customFormat="1"/>
    <row r="6" spans="1:11" s="379" customFormat="1" ht="13.5" thickBot="1"/>
    <row r="7" spans="1:11" s="379" customFormat="1" ht="13.5" thickBot="1">
      <c r="A7" s="757"/>
      <c r="B7" s="734"/>
      <c r="C7" s="734"/>
      <c r="D7" s="734"/>
      <c r="E7" s="734"/>
      <c r="F7" s="758"/>
    </row>
    <row r="8" spans="1:11" s="379" customFormat="1">
      <c r="A8" s="380"/>
      <c r="B8" s="381"/>
      <c r="C8" s="381"/>
      <c r="D8" s="381"/>
      <c r="E8" s="381"/>
      <c r="F8" s="382"/>
    </row>
    <row r="9" spans="1:11" s="379" customFormat="1" ht="25.5">
      <c r="A9" s="759" t="s">
        <v>303</v>
      </c>
      <c r="B9" s="760" t="s">
        <v>544</v>
      </c>
      <c r="C9" s="760" t="s">
        <v>471</v>
      </c>
      <c r="D9" s="759" t="s">
        <v>10</v>
      </c>
      <c r="E9" s="759"/>
      <c r="F9" s="759" t="s">
        <v>11</v>
      </c>
      <c r="G9" s="386"/>
      <c r="H9" s="386"/>
      <c r="I9" s="386"/>
      <c r="J9" s="386"/>
      <c r="K9" s="386"/>
    </row>
    <row r="10" spans="1:11" s="379" customFormat="1">
      <c r="A10" s="1127">
        <v>46204</v>
      </c>
      <c r="B10" s="1106" t="s">
        <v>1003</v>
      </c>
      <c r="C10" s="1107" t="s">
        <v>1531</v>
      </c>
      <c r="D10" s="1107" t="s">
        <v>1532</v>
      </c>
      <c r="E10" s="747"/>
      <c r="F10" s="1108">
        <v>-11558.03</v>
      </c>
      <c r="G10" s="927"/>
      <c r="H10" s="481"/>
      <c r="I10" s="386"/>
      <c r="J10" s="386"/>
      <c r="K10" s="386"/>
    </row>
    <row r="11" spans="1:11" s="379" customFormat="1">
      <c r="A11" s="1127">
        <v>46213</v>
      </c>
      <c r="B11" s="1106" t="s">
        <v>1262</v>
      </c>
      <c r="C11" s="1107" t="s">
        <v>1338</v>
      </c>
      <c r="D11" s="1107" t="s">
        <v>1533</v>
      </c>
      <c r="E11" s="747"/>
      <c r="F11" s="1108">
        <v>-4145.93</v>
      </c>
      <c r="G11" s="927"/>
      <c r="H11" s="481"/>
      <c r="I11" s="386"/>
      <c r="J11" s="386"/>
      <c r="K11" s="386"/>
    </row>
    <row r="12" spans="1:11" s="379" customFormat="1">
      <c r="A12" s="1127">
        <v>46213</v>
      </c>
      <c r="B12" s="1106" t="s">
        <v>1262</v>
      </c>
      <c r="C12" s="1107" t="s">
        <v>1338</v>
      </c>
      <c r="D12" s="1107" t="s">
        <v>1534</v>
      </c>
      <c r="E12" s="747"/>
      <c r="F12" s="1108">
        <v>-327.72</v>
      </c>
      <c r="G12" s="927"/>
      <c r="H12" s="481"/>
      <c r="I12" s="386"/>
      <c r="J12" s="386"/>
      <c r="K12" s="386"/>
    </row>
    <row r="13" spans="1:11" s="379" customFormat="1">
      <c r="A13" s="1127">
        <v>46213</v>
      </c>
      <c r="B13" s="1106" t="s">
        <v>1262</v>
      </c>
      <c r="C13" s="1107" t="s">
        <v>1338</v>
      </c>
      <c r="D13" s="1107" t="s">
        <v>1535</v>
      </c>
      <c r="E13" s="747"/>
      <c r="F13" s="1108">
        <v>-422.28</v>
      </c>
      <c r="G13" s="927"/>
      <c r="H13" s="481"/>
      <c r="I13" s="386"/>
      <c r="J13" s="386"/>
      <c r="K13" s="386"/>
    </row>
    <row r="14" spans="1:11" s="379" customFormat="1">
      <c r="A14" s="1127">
        <v>46213</v>
      </c>
      <c r="B14" s="1106" t="s">
        <v>1262</v>
      </c>
      <c r="C14" s="1107" t="s">
        <v>1338</v>
      </c>
      <c r="D14" s="1107" t="s">
        <v>1536</v>
      </c>
      <c r="E14" s="747"/>
      <c r="F14" s="1108">
        <v>-830.68</v>
      </c>
      <c r="G14" s="927"/>
      <c r="H14" s="481"/>
      <c r="I14" s="386"/>
      <c r="J14" s="386"/>
      <c r="K14" s="386"/>
    </row>
    <row r="15" spans="1:11" s="379" customFormat="1">
      <c r="A15" s="1127">
        <v>46213</v>
      </c>
      <c r="B15" s="1106" t="s">
        <v>1262</v>
      </c>
      <c r="C15" s="1107" t="s">
        <v>1338</v>
      </c>
      <c r="D15" s="1107" t="s">
        <v>1537</v>
      </c>
      <c r="E15" s="747"/>
      <c r="F15" s="1108">
        <v>-2073.83</v>
      </c>
      <c r="G15" s="927"/>
      <c r="H15" s="481"/>
      <c r="I15" s="386"/>
      <c r="J15" s="386"/>
      <c r="K15" s="386"/>
    </row>
    <row r="16" spans="1:11" s="379" customFormat="1">
      <c r="A16" s="1105"/>
      <c r="B16" s="1106"/>
      <c r="C16" s="1107"/>
      <c r="D16" s="1107"/>
      <c r="E16" s="747"/>
      <c r="F16" s="1108"/>
      <c r="G16" s="927"/>
      <c r="H16" s="481"/>
      <c r="I16" s="386"/>
      <c r="J16" s="386"/>
      <c r="K16" s="386"/>
    </row>
    <row r="17" spans="1:11" s="379" customFormat="1">
      <c r="A17" s="1105"/>
      <c r="B17" s="1106"/>
      <c r="C17" s="1107"/>
      <c r="D17" s="1107"/>
      <c r="E17" s="747"/>
      <c r="F17" s="1108"/>
      <c r="G17" s="927"/>
      <c r="H17" s="481"/>
      <c r="I17" s="386"/>
      <c r="J17" s="386"/>
      <c r="K17" s="386"/>
    </row>
    <row r="18" spans="1:11" s="379" customFormat="1">
      <c r="A18" s="1105"/>
      <c r="B18" s="746"/>
      <c r="C18" s="194"/>
      <c r="D18" s="194"/>
      <c r="E18" s="747"/>
      <c r="F18" s="1073"/>
      <c r="G18" s="927"/>
      <c r="H18" s="386"/>
    </row>
    <row r="19" spans="1:11" s="400" customFormat="1">
      <c r="A19" s="873"/>
      <c r="B19" s="874"/>
      <c r="C19" s="874" t="s">
        <v>306</v>
      </c>
      <c r="D19" s="874"/>
      <c r="E19" s="875"/>
      <c r="F19" s="876">
        <f>SUM(F10:F17)</f>
        <v>-19358.47</v>
      </c>
      <c r="G19" s="379"/>
      <c r="H19" s="386"/>
    </row>
    <row r="20" spans="1:11" s="379" customFormat="1">
      <c r="A20" s="1232"/>
      <c r="B20" s="1233"/>
      <c r="C20" s="1234"/>
      <c r="D20" s="834" t="s">
        <v>1210</v>
      </c>
      <c r="E20" s="748"/>
      <c r="F20" s="841" cm="1">
        <f t="array" ref="F20">IFERROR(INDEX('TB '!$G:$G,MATCH(D20,'TB '!$A:$A,0),0),0)</f>
        <v>-19358.47</v>
      </c>
      <c r="G20" s="741"/>
      <c r="H20" s="386"/>
    </row>
    <row r="21" spans="1:11" s="379" customFormat="1">
      <c r="A21" s="1235"/>
      <c r="B21" s="1236"/>
      <c r="C21" s="1237"/>
      <c r="D21" s="834" t="s">
        <v>712</v>
      </c>
      <c r="E21" s="746"/>
      <c r="F21" s="747">
        <f>F20-F19</f>
        <v>0</v>
      </c>
      <c r="H21" s="386"/>
    </row>
    <row r="22" spans="1:11" s="379" customFormat="1">
      <c r="C22" s="391"/>
      <c r="H22" s="386"/>
    </row>
    <row r="23" spans="1:11" s="379" customFormat="1"/>
    <row r="24" spans="1:11">
      <c r="B24" s="403"/>
      <c r="C24" s="379"/>
      <c r="F24" s="726" t="s">
        <v>539</v>
      </c>
    </row>
    <row r="25" spans="1:11">
      <c r="C25" s="379"/>
      <c r="F25" s="726" t="s">
        <v>538</v>
      </c>
    </row>
    <row r="26" spans="1:11">
      <c r="C26" s="379"/>
    </row>
    <row r="27" spans="1:11">
      <c r="C27" s="379"/>
    </row>
    <row r="28" spans="1:11">
      <c r="C28" s="379"/>
    </row>
    <row r="29" spans="1:11">
      <c r="C29" s="379"/>
    </row>
    <row r="30" spans="1:11">
      <c r="C30" s="379"/>
    </row>
    <row r="31" spans="1:11">
      <c r="C31" s="379"/>
    </row>
    <row r="32" spans="1:11">
      <c r="C32" s="379"/>
    </row>
    <row r="33" spans="3:3">
      <c r="C33" s="379"/>
    </row>
  </sheetData>
  <mergeCells count="4">
    <mergeCell ref="A1:F1"/>
    <mergeCell ref="A2:F2"/>
    <mergeCell ref="A3:F3"/>
    <mergeCell ref="A20:C21"/>
  </mergeCells>
  <phoneticPr fontId="103" type="noConversion"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8C395-B4A2-4AF9-AC75-9D9FE985447B}">
  <sheetPr codeName="Sheet76" filterMode="1"/>
  <dimension ref="A1:AN125"/>
  <sheetViews>
    <sheetView showGridLines="0" zoomScaleNormal="100" workbookViewId="0">
      <pane xSplit="2" ySplit="6" topLeftCell="P24" activePane="bottomRight" state="frozen"/>
      <selection pane="topRight" activeCell="C1" sqref="C1"/>
      <selection pane="bottomLeft" activeCell="A7" sqref="A7"/>
      <selection pane="bottomRight" activeCell="A43" sqref="A43"/>
    </sheetView>
  </sheetViews>
  <sheetFormatPr defaultColWidth="8.85546875" defaultRowHeight="12.75" outlineLevelCol="1"/>
  <cols>
    <col min="1" max="1" width="12.5703125" style="948" customWidth="1"/>
    <col min="2" max="2" width="27.85546875" style="948" bestFit="1" customWidth="1"/>
    <col min="3" max="6" width="7.85546875" style="948" hidden="1" customWidth="1" outlineLevel="1"/>
    <col min="7" max="7" width="16.85546875" style="948" hidden="1" customWidth="1" outlineLevel="1"/>
    <col min="8" max="8" width="16.5703125" style="948" hidden="1" customWidth="1" outlineLevel="1"/>
    <col min="9" max="9" width="7.85546875" style="948" hidden="1" customWidth="1" outlineLevel="1"/>
    <col min="10" max="11" width="16.85546875" style="948" hidden="1" customWidth="1" outlineLevel="1"/>
    <col min="12" max="14" width="7.85546875" style="948" hidden="1" customWidth="1" outlineLevel="1"/>
    <col min="15" max="15" width="12.5703125" style="948" hidden="1" customWidth="1" outlineLevel="1"/>
    <col min="16" max="16" width="9.42578125" style="949" customWidth="1" outlineLevel="1"/>
    <col min="17" max="17" width="13.85546875" style="950" customWidth="1" outlineLevel="1"/>
    <col min="18" max="18" width="12.5703125" style="958" customWidth="1" outlineLevel="1"/>
    <col min="19" max="19" width="19.85546875" style="948" bestFit="1" customWidth="1"/>
    <col min="20" max="20" width="17.42578125" style="732" bestFit="1" customWidth="1"/>
    <col min="21" max="21" width="46.85546875" style="732" bestFit="1" customWidth="1"/>
    <col min="22" max="22" width="5" style="732" customWidth="1"/>
    <col min="23" max="23" width="20.85546875" style="948" customWidth="1"/>
    <col min="24" max="24" width="10.5703125" style="948" customWidth="1"/>
    <col min="25" max="25" width="9.5703125" style="948" customWidth="1"/>
    <col min="26" max="26" width="10.85546875" style="948" bestFit="1" customWidth="1"/>
    <col min="27" max="27" width="10.5703125" style="948" bestFit="1" customWidth="1"/>
    <col min="28" max="28" width="11.85546875" style="948" bestFit="1" customWidth="1"/>
    <col min="29" max="29" width="7.5703125" style="948" customWidth="1"/>
    <col min="30" max="30" width="6.85546875" style="948" customWidth="1"/>
    <col min="31" max="34" width="8.85546875" style="948" customWidth="1"/>
    <col min="35" max="36" width="10.5703125" style="948" bestFit="1" customWidth="1"/>
    <col min="37" max="37" width="11.5703125" style="948" customWidth="1"/>
    <col min="38" max="39" width="8.85546875" style="948" customWidth="1"/>
    <col min="40" max="43" width="8.85546875" style="948"/>
    <col min="44" max="45" width="9.5703125" style="948" bestFit="1" customWidth="1"/>
    <col min="46" max="46" width="10.5703125" style="948" bestFit="1" customWidth="1"/>
    <col min="47" max="16384" width="8.85546875" style="948"/>
  </cols>
  <sheetData>
    <row r="1" spans="1:29" s="941" customFormat="1" ht="18">
      <c r="A1" s="1179" t="s">
        <v>1318</v>
      </c>
      <c r="B1" s="1180"/>
      <c r="C1" s="1180"/>
      <c r="D1" s="1180"/>
      <c r="E1" s="1180"/>
      <c r="F1" s="1180"/>
      <c r="G1" s="1180"/>
      <c r="H1" s="1180"/>
      <c r="I1" s="1180"/>
      <c r="J1" s="1180"/>
      <c r="K1" s="1180"/>
      <c r="L1" s="1180"/>
      <c r="M1" s="1180"/>
      <c r="N1" s="1180"/>
      <c r="O1" s="1180"/>
      <c r="P1" s="1180"/>
      <c r="Q1" s="1180"/>
      <c r="R1" s="1180"/>
      <c r="S1" s="1180"/>
      <c r="T1" s="1180"/>
      <c r="U1" s="1181"/>
      <c r="V1" s="938"/>
      <c r="W1" s="939"/>
      <c r="X1" s="940"/>
      <c r="Y1" s="940"/>
    </row>
    <row r="2" spans="1:29" s="941" customFormat="1" ht="18">
      <c r="A2" s="1238" t="s">
        <v>1319</v>
      </c>
      <c r="B2" s="1239"/>
      <c r="C2" s="1239"/>
      <c r="D2" s="1239"/>
      <c r="E2" s="1239"/>
      <c r="F2" s="1239"/>
      <c r="G2" s="1239"/>
      <c r="H2" s="1239"/>
      <c r="I2" s="1239"/>
      <c r="J2" s="1239"/>
      <c r="K2" s="1239"/>
      <c r="L2" s="1239"/>
      <c r="M2" s="1239"/>
      <c r="N2" s="1239"/>
      <c r="O2" s="1239"/>
      <c r="P2" s="1239"/>
      <c r="Q2" s="1239"/>
      <c r="R2" s="1239"/>
      <c r="S2" s="1239"/>
      <c r="T2" s="1239"/>
      <c r="U2" s="1240"/>
      <c r="V2" s="942"/>
      <c r="W2" s="943"/>
      <c r="X2" s="944"/>
      <c r="Y2" s="944"/>
    </row>
    <row r="3" spans="1:29" s="941" customFormat="1" ht="18.75" thickBot="1">
      <c r="A3" s="1241" t="s">
        <v>1453</v>
      </c>
      <c r="B3" s="1242"/>
      <c r="C3" s="1242"/>
      <c r="D3" s="1242"/>
      <c r="E3" s="1242"/>
      <c r="F3" s="1242"/>
      <c r="G3" s="1242"/>
      <c r="H3" s="1242"/>
      <c r="I3" s="1242"/>
      <c r="J3" s="1242"/>
      <c r="K3" s="1242"/>
      <c r="L3" s="1242"/>
      <c r="M3" s="1242"/>
      <c r="N3" s="1242"/>
      <c r="O3" s="1242"/>
      <c r="P3" s="1242"/>
      <c r="Q3" s="1242"/>
      <c r="R3" s="1242"/>
      <c r="S3" s="1242"/>
      <c r="T3" s="1242"/>
      <c r="U3" s="1243"/>
      <c r="V3" s="945"/>
      <c r="W3" s="946"/>
      <c r="X3" s="947"/>
      <c r="Y3" s="947"/>
    </row>
    <row r="4" spans="1:29">
      <c r="W4" s="1072" t="s">
        <v>1486</v>
      </c>
    </row>
    <row r="6" spans="1:29" s="956" customFormat="1" ht="21.95" customHeight="1">
      <c r="A6" s="951" t="s">
        <v>1320</v>
      </c>
      <c r="B6" s="951" t="s">
        <v>1321</v>
      </c>
      <c r="C6" s="959">
        <v>45658</v>
      </c>
      <c r="D6" s="960">
        <v>45689</v>
      </c>
      <c r="E6" s="960">
        <v>45717</v>
      </c>
      <c r="F6" s="960">
        <v>45748</v>
      </c>
      <c r="G6" s="960">
        <v>45778</v>
      </c>
      <c r="H6" s="960">
        <v>45809</v>
      </c>
      <c r="I6" s="960">
        <v>45839</v>
      </c>
      <c r="J6" s="960">
        <v>45870</v>
      </c>
      <c r="K6" s="960">
        <v>45901</v>
      </c>
      <c r="L6" s="960">
        <v>45931</v>
      </c>
      <c r="M6" s="960">
        <v>45962</v>
      </c>
      <c r="N6" s="960">
        <v>45992</v>
      </c>
      <c r="O6" s="961" t="s">
        <v>1322</v>
      </c>
      <c r="P6" s="962" t="s">
        <v>1323</v>
      </c>
      <c r="Q6" s="963" t="s">
        <v>1324</v>
      </c>
      <c r="R6" s="964" t="s">
        <v>1325</v>
      </c>
      <c r="S6" s="952" t="s">
        <v>471</v>
      </c>
      <c r="T6" s="953" t="s">
        <v>233</v>
      </c>
      <c r="U6" s="954" t="s">
        <v>1326</v>
      </c>
      <c r="V6" s="955"/>
      <c r="W6" s="955" t="s">
        <v>1327</v>
      </c>
      <c r="AB6" s="957"/>
    </row>
    <row r="7" spans="1:29" s="970" customFormat="1" ht="15" hidden="1" customHeight="1">
      <c r="A7" s="966"/>
      <c r="B7" s="966"/>
      <c r="C7" s="966"/>
      <c r="D7" s="966"/>
      <c r="E7" s="966"/>
      <c r="F7" s="966"/>
      <c r="G7" s="966"/>
      <c r="H7" s="966"/>
      <c r="I7" s="966"/>
      <c r="J7" s="966"/>
      <c r="K7" s="966"/>
      <c r="L7" s="966"/>
      <c r="M7" s="966"/>
      <c r="N7" s="966"/>
      <c r="O7" s="967"/>
      <c r="P7" s="968"/>
      <c r="Q7" s="969"/>
      <c r="R7" s="969"/>
      <c r="T7" s="971"/>
      <c r="U7" s="971"/>
      <c r="V7" s="971"/>
      <c r="W7" s="966"/>
      <c r="AB7" s="972"/>
      <c r="AC7" s="973"/>
    </row>
    <row r="8" spans="1:29" s="970" customFormat="1" ht="11.25" hidden="1">
      <c r="A8" s="974" t="s">
        <v>1227</v>
      </c>
      <c r="B8" s="974" t="s">
        <v>1228</v>
      </c>
      <c r="C8" s="975">
        <v>0</v>
      </c>
      <c r="D8" s="975">
        <v>7041</v>
      </c>
      <c r="E8" s="975">
        <v>8914</v>
      </c>
      <c r="F8" s="975">
        <v>0</v>
      </c>
      <c r="G8" s="975">
        <v>10300</v>
      </c>
      <c r="H8" s="975">
        <v>0</v>
      </c>
      <c r="I8" s="975">
        <v>0</v>
      </c>
      <c r="J8" s="975">
        <v>0</v>
      </c>
      <c r="K8" s="975">
        <v>0</v>
      </c>
      <c r="L8" s="975">
        <v>0</v>
      </c>
      <c r="M8" s="975">
        <v>0</v>
      </c>
      <c r="N8" s="975">
        <v>0</v>
      </c>
      <c r="O8" s="976">
        <f>SUM(C8:N8)</f>
        <v>26255</v>
      </c>
      <c r="P8" s="968" t="s">
        <v>1328</v>
      </c>
      <c r="Q8" s="977"/>
      <c r="R8" s="977"/>
      <c r="S8" s="970" t="s">
        <v>1336</v>
      </c>
      <c r="T8" s="978"/>
      <c r="U8" s="978" t="str">
        <f>IF((T8=0),"","ACCRUE "&amp;R8&amp;" "&amp;B8)</f>
        <v/>
      </c>
      <c r="V8" s="978"/>
      <c r="W8" s="979"/>
    </row>
    <row r="9" spans="1:29" s="970" customFormat="1" ht="11.25" hidden="1">
      <c r="A9" s="974" t="s">
        <v>1229</v>
      </c>
      <c r="B9" s="974" t="s">
        <v>1230</v>
      </c>
      <c r="C9" s="975">
        <v>7732</v>
      </c>
      <c r="D9" s="975">
        <v>7732</v>
      </c>
      <c r="E9" s="975">
        <v>7732</v>
      </c>
      <c r="F9" s="975">
        <v>7732</v>
      </c>
      <c r="G9" s="975">
        <v>7732</v>
      </c>
      <c r="H9" s="975">
        <v>7732</v>
      </c>
      <c r="I9" s="975">
        <v>7732</v>
      </c>
      <c r="J9" s="975">
        <v>7732</v>
      </c>
      <c r="K9" s="975">
        <v>7732</v>
      </c>
      <c r="L9" s="975">
        <v>7732</v>
      </c>
      <c r="M9" s="975">
        <v>7732</v>
      </c>
      <c r="N9" s="975">
        <v>7732</v>
      </c>
      <c r="O9" s="976">
        <f t="shared" ref="O9:O44" si="0">SUM(C9:N9)</f>
        <v>92784</v>
      </c>
      <c r="P9" s="980" t="s">
        <v>1335</v>
      </c>
      <c r="Q9" s="977"/>
      <c r="R9" s="977" t="s">
        <v>1329</v>
      </c>
      <c r="T9" s="978">
        <v>0</v>
      </c>
      <c r="U9" s="978" t="str">
        <f t="shared" ref="U9:U46" si="1">IF((T9=0),"","ACCRUE "&amp;R9&amp;" "&amp;B9)</f>
        <v/>
      </c>
      <c r="V9" s="978"/>
      <c r="W9" s="979"/>
    </row>
    <row r="10" spans="1:29" s="970" customFormat="1" ht="11.25" hidden="1">
      <c r="A10" s="974" t="s">
        <v>1231</v>
      </c>
      <c r="B10" s="974" t="s">
        <v>1232</v>
      </c>
      <c r="C10" s="975">
        <v>729</v>
      </c>
      <c r="D10" s="975">
        <v>729</v>
      </c>
      <c r="E10" s="975">
        <v>729</v>
      </c>
      <c r="F10" s="975">
        <v>729</v>
      </c>
      <c r="G10" s="975">
        <v>729</v>
      </c>
      <c r="H10" s="975">
        <v>729</v>
      </c>
      <c r="I10" s="975">
        <v>729</v>
      </c>
      <c r="J10" s="975">
        <v>729</v>
      </c>
      <c r="K10" s="975">
        <v>729</v>
      </c>
      <c r="L10" s="975">
        <v>729</v>
      </c>
      <c r="M10" s="975">
        <v>729</v>
      </c>
      <c r="N10" s="975">
        <v>729</v>
      </c>
      <c r="O10" s="976">
        <f t="shared" si="0"/>
        <v>8748</v>
      </c>
      <c r="P10" s="968" t="s">
        <v>1328</v>
      </c>
      <c r="Q10" s="981"/>
      <c r="R10" s="981"/>
      <c r="T10" s="978">
        <v>0</v>
      </c>
      <c r="U10" s="978" t="str">
        <f t="shared" si="1"/>
        <v/>
      </c>
      <c r="V10" s="978"/>
      <c r="W10" s="979"/>
    </row>
    <row r="11" spans="1:29" s="970" customFormat="1" ht="11.25" hidden="1">
      <c r="A11" s="974" t="s">
        <v>1233</v>
      </c>
      <c r="B11" s="974" t="s">
        <v>1234</v>
      </c>
      <c r="C11" s="975">
        <v>972</v>
      </c>
      <c r="D11" s="975">
        <v>2754</v>
      </c>
      <c r="E11" s="975">
        <v>272</v>
      </c>
      <c r="F11" s="975">
        <v>272</v>
      </c>
      <c r="G11" s="975">
        <v>2754</v>
      </c>
      <c r="H11" s="975">
        <v>272</v>
      </c>
      <c r="I11" s="975">
        <v>272</v>
      </c>
      <c r="J11" s="975">
        <v>2754</v>
      </c>
      <c r="K11" s="975">
        <v>272</v>
      </c>
      <c r="L11" s="975">
        <v>272</v>
      </c>
      <c r="M11" s="975">
        <v>2754</v>
      </c>
      <c r="N11" s="975">
        <v>272</v>
      </c>
      <c r="O11" s="976">
        <f t="shared" si="0"/>
        <v>13892</v>
      </c>
      <c r="P11" s="980" t="s">
        <v>1335</v>
      </c>
      <c r="Q11" s="981"/>
      <c r="R11" s="977" t="s">
        <v>1329</v>
      </c>
      <c r="T11" s="978">
        <v>0</v>
      </c>
      <c r="U11" s="978" t="str">
        <f t="shared" si="1"/>
        <v/>
      </c>
      <c r="V11" s="978"/>
      <c r="W11" s="979"/>
    </row>
    <row r="12" spans="1:29" s="970" customFormat="1" ht="11.25" hidden="1">
      <c r="A12" s="974" t="s">
        <v>1235</v>
      </c>
      <c r="B12" s="974" t="s">
        <v>1236</v>
      </c>
      <c r="C12" s="975">
        <v>0</v>
      </c>
      <c r="D12" s="975">
        <v>500</v>
      </c>
      <c r="E12" s="975">
        <v>0</v>
      </c>
      <c r="F12" s="975">
        <v>0</v>
      </c>
      <c r="G12" s="975">
        <v>500</v>
      </c>
      <c r="H12" s="975">
        <v>0</v>
      </c>
      <c r="I12" s="975">
        <v>0</v>
      </c>
      <c r="J12" s="975">
        <v>500</v>
      </c>
      <c r="K12" s="975">
        <v>0</v>
      </c>
      <c r="L12" s="975">
        <v>0</v>
      </c>
      <c r="M12" s="975">
        <v>500</v>
      </c>
      <c r="N12" s="975">
        <v>0</v>
      </c>
      <c r="O12" s="976">
        <f t="shared" si="0"/>
        <v>2000</v>
      </c>
      <c r="P12" s="980" t="s">
        <v>1335</v>
      </c>
      <c r="Q12" s="981"/>
      <c r="R12" s="1055" t="s">
        <v>1447</v>
      </c>
      <c r="T12" s="978">
        <v>0</v>
      </c>
      <c r="U12" s="978" t="str">
        <f t="shared" si="1"/>
        <v/>
      </c>
      <c r="V12" s="978"/>
      <c r="W12" s="979"/>
      <c r="X12" s="970" t="s">
        <v>22</v>
      </c>
    </row>
    <row r="13" spans="1:29" s="970" customFormat="1" ht="14.25" hidden="1" customHeight="1">
      <c r="A13" s="974" t="s">
        <v>1288</v>
      </c>
      <c r="B13" s="974" t="s">
        <v>1289</v>
      </c>
      <c r="C13" s="975">
        <v>0</v>
      </c>
      <c r="D13" s="975">
        <v>750</v>
      </c>
      <c r="E13" s="975">
        <v>0</v>
      </c>
      <c r="F13" s="975">
        <v>0</v>
      </c>
      <c r="G13" s="975">
        <v>750</v>
      </c>
      <c r="H13" s="975">
        <v>0</v>
      </c>
      <c r="I13" s="975">
        <v>0</v>
      </c>
      <c r="J13" s="975">
        <v>750</v>
      </c>
      <c r="K13" s="975">
        <v>0</v>
      </c>
      <c r="L13" s="975">
        <v>0</v>
      </c>
      <c r="M13" s="975">
        <v>750</v>
      </c>
      <c r="N13" s="975">
        <v>0</v>
      </c>
      <c r="O13" s="976">
        <f t="shared" si="0"/>
        <v>3000</v>
      </c>
      <c r="P13" s="968" t="s">
        <v>1328</v>
      </c>
      <c r="Q13" s="981"/>
      <c r="R13" s="981"/>
      <c r="T13" s="978">
        <v>0</v>
      </c>
      <c r="U13" s="978" t="str">
        <f t="shared" si="1"/>
        <v/>
      </c>
      <c r="V13" s="978"/>
      <c r="W13" s="979"/>
    </row>
    <row r="14" spans="1:29" s="970" customFormat="1" ht="12.75" hidden="1" customHeight="1">
      <c r="A14" s="974" t="s">
        <v>1237</v>
      </c>
      <c r="B14" s="974" t="s">
        <v>1238</v>
      </c>
      <c r="C14" s="975">
        <v>200</v>
      </c>
      <c r="D14" s="975">
        <v>0</v>
      </c>
      <c r="E14" s="975">
        <v>0</v>
      </c>
      <c r="F14" s="975">
        <v>200</v>
      </c>
      <c r="G14" s="975">
        <v>0</v>
      </c>
      <c r="H14" s="975">
        <v>0</v>
      </c>
      <c r="I14" s="975">
        <v>200</v>
      </c>
      <c r="J14" s="975">
        <v>0</v>
      </c>
      <c r="K14" s="975">
        <v>0</v>
      </c>
      <c r="L14" s="975">
        <v>200</v>
      </c>
      <c r="M14" s="975">
        <v>0</v>
      </c>
      <c r="N14" s="975">
        <v>0</v>
      </c>
      <c r="O14" s="976">
        <f t="shared" si="0"/>
        <v>800</v>
      </c>
      <c r="P14" s="968" t="s">
        <v>1328</v>
      </c>
      <c r="Q14" s="981"/>
      <c r="R14" s="981"/>
      <c r="T14" s="978">
        <v>0</v>
      </c>
      <c r="U14" s="978" t="str">
        <f t="shared" si="1"/>
        <v/>
      </c>
      <c r="V14" s="978"/>
      <c r="W14" s="979"/>
    </row>
    <row r="15" spans="1:29" s="970" customFormat="1" ht="12" hidden="1" customHeight="1">
      <c r="A15" s="974" t="s">
        <v>1239</v>
      </c>
      <c r="B15" s="974" t="s">
        <v>1240</v>
      </c>
      <c r="C15" s="975">
        <v>3000</v>
      </c>
      <c r="D15" s="975">
        <v>3000</v>
      </c>
      <c r="E15" s="975">
        <v>3000</v>
      </c>
      <c r="F15" s="975">
        <v>3000</v>
      </c>
      <c r="G15" s="975">
        <v>3000</v>
      </c>
      <c r="H15" s="975">
        <v>3000</v>
      </c>
      <c r="I15" s="975">
        <v>3000</v>
      </c>
      <c r="J15" s="975">
        <v>3000</v>
      </c>
      <c r="K15" s="975">
        <v>3000</v>
      </c>
      <c r="L15" s="975">
        <v>3000</v>
      </c>
      <c r="M15" s="975">
        <v>3000</v>
      </c>
      <c r="N15" s="975">
        <v>3000</v>
      </c>
      <c r="O15" s="976">
        <f t="shared" si="0"/>
        <v>36000</v>
      </c>
      <c r="P15" s="980" t="s">
        <v>1335</v>
      </c>
      <c r="Q15" s="981"/>
      <c r="R15" s="977" t="s">
        <v>1329</v>
      </c>
      <c r="T15" s="978">
        <v>0</v>
      </c>
      <c r="U15" s="978" t="str">
        <f t="shared" si="1"/>
        <v/>
      </c>
      <c r="V15" s="978"/>
    </row>
    <row r="16" spans="1:29" s="970" customFormat="1" ht="15.75" hidden="1" customHeight="1">
      <c r="A16" s="974" t="s">
        <v>1300</v>
      </c>
      <c r="B16" s="974" t="s">
        <v>1301</v>
      </c>
      <c r="C16" s="975">
        <v>0</v>
      </c>
      <c r="D16" s="975">
        <v>0</v>
      </c>
      <c r="E16" s="975">
        <v>0</v>
      </c>
      <c r="F16" s="975">
        <v>3750</v>
      </c>
      <c r="G16" s="975">
        <v>1000</v>
      </c>
      <c r="H16" s="975">
        <v>0</v>
      </c>
      <c r="I16" s="975">
        <v>0</v>
      </c>
      <c r="J16" s="975">
        <v>3750</v>
      </c>
      <c r="K16" s="975">
        <v>0</v>
      </c>
      <c r="L16" s="975">
        <v>0</v>
      </c>
      <c r="M16" s="975">
        <v>0</v>
      </c>
      <c r="N16" s="975">
        <v>0</v>
      </c>
      <c r="O16" s="976">
        <f t="shared" si="0"/>
        <v>8500</v>
      </c>
      <c r="P16" s="968" t="s">
        <v>1328</v>
      </c>
      <c r="Q16" s="981"/>
      <c r="R16" s="981"/>
      <c r="T16" s="978">
        <v>0</v>
      </c>
      <c r="U16" s="978" t="str">
        <f t="shared" si="1"/>
        <v/>
      </c>
      <c r="V16" s="978"/>
    </row>
    <row r="17" spans="1:40" s="970" customFormat="1" ht="13.5" hidden="1" customHeight="1">
      <c r="A17" s="974" t="s">
        <v>1241</v>
      </c>
      <c r="B17" s="974" t="s">
        <v>1242</v>
      </c>
      <c r="C17" s="975">
        <v>11199</v>
      </c>
      <c r="D17" s="975">
        <v>11199</v>
      </c>
      <c r="E17" s="975">
        <v>11199</v>
      </c>
      <c r="F17" s="975">
        <v>11199</v>
      </c>
      <c r="G17" s="975">
        <v>11199</v>
      </c>
      <c r="H17" s="975">
        <v>11199</v>
      </c>
      <c r="I17" s="975">
        <v>11199</v>
      </c>
      <c r="J17" s="975">
        <v>11199</v>
      </c>
      <c r="K17" s="975">
        <v>11199</v>
      </c>
      <c r="L17" s="975">
        <v>11199</v>
      </c>
      <c r="M17" s="975">
        <v>11199</v>
      </c>
      <c r="N17" s="975">
        <v>11199</v>
      </c>
      <c r="O17" s="976">
        <f t="shared" si="0"/>
        <v>134388</v>
      </c>
      <c r="P17" s="980" t="s">
        <v>1335</v>
      </c>
      <c r="Q17" s="981"/>
      <c r="R17" s="983" t="s">
        <v>1329</v>
      </c>
      <c r="T17" s="978"/>
      <c r="U17" s="978" t="str">
        <f t="shared" si="1"/>
        <v/>
      </c>
      <c r="V17" s="978"/>
      <c r="W17" s="979"/>
    </row>
    <row r="18" spans="1:40" s="970" customFormat="1" ht="12.75" hidden="1" customHeight="1">
      <c r="A18" s="974" t="s">
        <v>1243</v>
      </c>
      <c r="B18" s="974" t="s">
        <v>1343</v>
      </c>
      <c r="C18" s="975">
        <v>297</v>
      </c>
      <c r="D18" s="975">
        <v>297</v>
      </c>
      <c r="E18" s="975">
        <v>800</v>
      </c>
      <c r="F18" s="975">
        <v>297</v>
      </c>
      <c r="G18" s="975">
        <v>297</v>
      </c>
      <c r="H18" s="975">
        <v>800</v>
      </c>
      <c r="I18" s="975">
        <v>297</v>
      </c>
      <c r="J18" s="975">
        <v>297</v>
      </c>
      <c r="K18" s="975">
        <v>800</v>
      </c>
      <c r="L18" s="975">
        <v>297</v>
      </c>
      <c r="M18" s="975">
        <v>297</v>
      </c>
      <c r="N18" s="975">
        <v>800</v>
      </c>
      <c r="O18" s="976">
        <f t="shared" si="0"/>
        <v>5576</v>
      </c>
      <c r="P18" s="980" t="s">
        <v>1335</v>
      </c>
      <c r="Q18" s="981"/>
      <c r="R18" s="977" t="s">
        <v>1329</v>
      </c>
      <c r="S18" s="970" t="s">
        <v>1342</v>
      </c>
      <c r="T18" s="978">
        <v>0</v>
      </c>
      <c r="U18" s="978" t="str">
        <f t="shared" si="1"/>
        <v/>
      </c>
      <c r="V18" s="978"/>
      <c r="W18" s="982" t="s">
        <v>830</v>
      </c>
    </row>
    <row r="19" spans="1:40" s="970" customFormat="1" ht="10.5" hidden="1" customHeight="1">
      <c r="A19" s="974" t="s">
        <v>1331</v>
      </c>
      <c r="B19" s="974" t="s">
        <v>1332</v>
      </c>
      <c r="C19" s="975">
        <v>0</v>
      </c>
      <c r="D19" s="975">
        <v>2500</v>
      </c>
      <c r="E19" s="975">
        <v>0</v>
      </c>
      <c r="F19" s="975">
        <v>0</v>
      </c>
      <c r="G19" s="975">
        <v>0</v>
      </c>
      <c r="H19" s="975">
        <v>0</v>
      </c>
      <c r="I19" s="975">
        <v>0</v>
      </c>
      <c r="J19" s="975">
        <v>0</v>
      </c>
      <c r="K19" s="975">
        <v>0</v>
      </c>
      <c r="L19" s="975">
        <v>2500</v>
      </c>
      <c r="M19" s="975">
        <v>0</v>
      </c>
      <c r="N19" s="975">
        <v>0</v>
      </c>
      <c r="O19" s="976">
        <f t="shared" si="0"/>
        <v>5000</v>
      </c>
      <c r="P19" s="968" t="s">
        <v>1328</v>
      </c>
      <c r="Q19" s="977"/>
      <c r="R19" s="977"/>
      <c r="T19" s="978"/>
      <c r="U19" s="978" t="str">
        <f t="shared" si="1"/>
        <v/>
      </c>
      <c r="V19" s="978"/>
      <c r="W19" s="979"/>
    </row>
    <row r="20" spans="1:40" s="970" customFormat="1" ht="12" hidden="1" customHeight="1">
      <c r="A20" s="974" t="s">
        <v>1244</v>
      </c>
      <c r="B20" s="974" t="s">
        <v>1245</v>
      </c>
      <c r="C20" s="975">
        <v>0</v>
      </c>
      <c r="D20" s="975">
        <v>0</v>
      </c>
      <c r="E20" s="975">
        <v>0</v>
      </c>
      <c r="F20" s="975">
        <v>500</v>
      </c>
      <c r="G20" s="975">
        <v>0</v>
      </c>
      <c r="H20" s="975">
        <v>0</v>
      </c>
      <c r="I20" s="975">
        <v>0</v>
      </c>
      <c r="J20" s="975">
        <v>0</v>
      </c>
      <c r="K20" s="975">
        <v>0</v>
      </c>
      <c r="L20" s="975">
        <v>0</v>
      </c>
      <c r="M20" s="975">
        <v>0</v>
      </c>
      <c r="N20" s="975">
        <v>0</v>
      </c>
      <c r="O20" s="976">
        <f t="shared" si="0"/>
        <v>500</v>
      </c>
      <c r="P20" s="968" t="s">
        <v>1328</v>
      </c>
      <c r="Q20" s="981"/>
      <c r="R20" s="981"/>
      <c r="T20" s="978">
        <v>0</v>
      </c>
      <c r="U20" s="978" t="str">
        <f t="shared" si="1"/>
        <v/>
      </c>
      <c r="V20" s="978"/>
      <c r="W20" s="979"/>
    </row>
    <row r="21" spans="1:40" s="970" customFormat="1" ht="11.25" hidden="1" customHeight="1">
      <c r="A21" s="974" t="s">
        <v>1246</v>
      </c>
      <c r="B21" s="974" t="s">
        <v>1247</v>
      </c>
      <c r="C21" s="975">
        <v>0</v>
      </c>
      <c r="D21" s="975">
        <v>0</v>
      </c>
      <c r="E21" s="975">
        <v>770</v>
      </c>
      <c r="F21" s="975">
        <v>0</v>
      </c>
      <c r="G21" s="975">
        <v>0</v>
      </c>
      <c r="H21" s="975">
        <v>0</v>
      </c>
      <c r="I21" s="975">
        <v>2874</v>
      </c>
      <c r="J21" s="975">
        <v>0</v>
      </c>
      <c r="K21" s="975">
        <v>0</v>
      </c>
      <c r="L21" s="975">
        <v>0</v>
      </c>
      <c r="M21" s="975">
        <v>0</v>
      </c>
      <c r="N21" s="975">
        <v>0</v>
      </c>
      <c r="O21" s="976">
        <f t="shared" si="0"/>
        <v>3644</v>
      </c>
      <c r="P21" s="968" t="s">
        <v>1328</v>
      </c>
      <c r="Q21" s="977"/>
      <c r="R21" s="983"/>
      <c r="T21" s="978">
        <v>0</v>
      </c>
      <c r="U21" s="978" t="str">
        <f t="shared" si="1"/>
        <v/>
      </c>
      <c r="V21" s="978"/>
      <c r="W21" s="979"/>
    </row>
    <row r="22" spans="1:40" s="970" customFormat="1" ht="13.5" hidden="1" customHeight="1">
      <c r="A22" s="974" t="s">
        <v>1248</v>
      </c>
      <c r="B22" s="974" t="s">
        <v>1249</v>
      </c>
      <c r="C22" s="975">
        <v>0</v>
      </c>
      <c r="D22" s="975">
        <v>0</v>
      </c>
      <c r="E22" s="975">
        <v>0</v>
      </c>
      <c r="F22" s="975">
        <v>603</v>
      </c>
      <c r="G22" s="975">
        <v>0</v>
      </c>
      <c r="H22" s="975">
        <v>0</v>
      </c>
      <c r="I22" s="975">
        <v>0</v>
      </c>
      <c r="J22" s="975">
        <v>600</v>
      </c>
      <c r="K22" s="975">
        <v>0</v>
      </c>
      <c r="L22" s="975">
        <v>0</v>
      </c>
      <c r="M22" s="975">
        <v>0</v>
      </c>
      <c r="N22" s="975">
        <v>0</v>
      </c>
      <c r="O22" s="976">
        <f t="shared" si="0"/>
        <v>1203</v>
      </c>
      <c r="P22" s="968" t="s">
        <v>1328</v>
      </c>
      <c r="Q22" s="981"/>
      <c r="R22" s="977" t="s">
        <v>1329</v>
      </c>
      <c r="T22" s="978">
        <v>0</v>
      </c>
      <c r="U22" s="978" t="str">
        <f t="shared" si="1"/>
        <v/>
      </c>
      <c r="V22" s="978"/>
      <c r="W22" s="979"/>
    </row>
    <row r="23" spans="1:40" s="970" customFormat="1" ht="15.75" hidden="1" customHeight="1">
      <c r="A23" s="974" t="s">
        <v>1250</v>
      </c>
      <c r="B23" s="974" t="s">
        <v>1251</v>
      </c>
      <c r="C23" s="975">
        <v>2577</v>
      </c>
      <c r="D23" s="975">
        <v>2627</v>
      </c>
      <c r="E23" s="975">
        <v>2627</v>
      </c>
      <c r="F23" s="975">
        <v>2627</v>
      </c>
      <c r="G23" s="975">
        <v>2627</v>
      </c>
      <c r="H23" s="975">
        <v>2627</v>
      </c>
      <c r="I23" s="975">
        <v>2627</v>
      </c>
      <c r="J23" s="975">
        <v>2627</v>
      </c>
      <c r="K23" s="975">
        <v>2627</v>
      </c>
      <c r="L23" s="975">
        <v>2627</v>
      </c>
      <c r="M23" s="975">
        <v>2627</v>
      </c>
      <c r="N23" s="975">
        <v>2627</v>
      </c>
      <c r="O23" s="976">
        <f t="shared" si="0"/>
        <v>31474</v>
      </c>
      <c r="P23" s="980" t="s">
        <v>1335</v>
      </c>
      <c r="Q23" s="981"/>
      <c r="R23" s="977" t="s">
        <v>1329</v>
      </c>
      <c r="T23" s="978">
        <v>0</v>
      </c>
      <c r="U23" s="978" t="str">
        <f t="shared" si="1"/>
        <v/>
      </c>
      <c r="V23" s="978"/>
      <c r="W23" s="979"/>
    </row>
    <row r="24" spans="1:40" s="970" customFormat="1" ht="18.75" customHeight="1">
      <c r="A24" s="974" t="s">
        <v>1252</v>
      </c>
      <c r="B24" s="974" t="s">
        <v>1253</v>
      </c>
      <c r="C24" s="975">
        <v>14930</v>
      </c>
      <c r="D24" s="975">
        <v>14930</v>
      </c>
      <c r="E24" s="975">
        <v>14930</v>
      </c>
      <c r="F24" s="975">
        <v>14930</v>
      </c>
      <c r="G24" s="975">
        <v>14930</v>
      </c>
      <c r="H24" s="975">
        <v>14930</v>
      </c>
      <c r="I24" s="975">
        <v>14930</v>
      </c>
      <c r="J24" s="975">
        <v>14930</v>
      </c>
      <c r="K24" s="975">
        <v>14930</v>
      </c>
      <c r="L24" s="975">
        <v>14930</v>
      </c>
      <c r="M24" s="975">
        <v>14930</v>
      </c>
      <c r="N24" s="975">
        <v>14930</v>
      </c>
      <c r="O24" s="976">
        <f t="shared" si="0"/>
        <v>179160</v>
      </c>
      <c r="P24" s="980" t="s">
        <v>1335</v>
      </c>
      <c r="Q24" s="977"/>
      <c r="R24" s="1061" t="s">
        <v>1430</v>
      </c>
      <c r="T24" s="978">
        <v>7500</v>
      </c>
      <c r="U24" s="978" t="str">
        <f t="shared" si="1"/>
        <v>ACCRUE 12/25 SECURITY</v>
      </c>
      <c r="V24" s="978"/>
      <c r="W24" s="979"/>
    </row>
    <row r="25" spans="1:40" s="970" customFormat="1" ht="19.5" hidden="1" customHeight="1">
      <c r="A25" s="974" t="s">
        <v>1333</v>
      </c>
      <c r="B25" s="974" t="s">
        <v>1334</v>
      </c>
      <c r="C25" s="975">
        <v>0</v>
      </c>
      <c r="D25" s="975">
        <v>1500</v>
      </c>
      <c r="E25" s="975">
        <v>0</v>
      </c>
      <c r="F25" s="975">
        <v>0</v>
      </c>
      <c r="G25" s="975">
        <v>1500</v>
      </c>
      <c r="H25" s="975">
        <v>0</v>
      </c>
      <c r="I25" s="975">
        <v>0</v>
      </c>
      <c r="J25" s="975">
        <v>1500</v>
      </c>
      <c r="K25" s="975">
        <v>0</v>
      </c>
      <c r="L25" s="975">
        <v>0</v>
      </c>
      <c r="M25" s="975">
        <v>1500</v>
      </c>
      <c r="N25" s="975">
        <v>0</v>
      </c>
      <c r="O25" s="976">
        <f t="shared" si="0"/>
        <v>6000</v>
      </c>
      <c r="P25" s="980" t="s">
        <v>1335</v>
      </c>
      <c r="Q25" s="977"/>
      <c r="R25" s="977" t="s">
        <v>1329</v>
      </c>
      <c r="T25" s="978">
        <v>0</v>
      </c>
      <c r="U25" s="978" t="str">
        <f t="shared" si="1"/>
        <v/>
      </c>
      <c r="V25" s="978"/>
    </row>
    <row r="26" spans="1:40" s="970" customFormat="1" ht="27.75" hidden="1" customHeight="1">
      <c r="A26" s="974" t="s">
        <v>1254</v>
      </c>
      <c r="B26" s="974" t="s">
        <v>1255</v>
      </c>
      <c r="C26" s="975">
        <v>1500</v>
      </c>
      <c r="D26" s="975">
        <v>0</v>
      </c>
      <c r="E26" s="975">
        <v>0</v>
      </c>
      <c r="F26" s="975">
        <v>1500</v>
      </c>
      <c r="G26" s="975">
        <v>0</v>
      </c>
      <c r="H26" s="975">
        <v>0</v>
      </c>
      <c r="I26" s="975">
        <v>1500</v>
      </c>
      <c r="J26" s="975">
        <v>0</v>
      </c>
      <c r="K26" s="975">
        <v>0</v>
      </c>
      <c r="L26" s="975">
        <v>1500</v>
      </c>
      <c r="M26" s="975">
        <v>0</v>
      </c>
      <c r="N26" s="975">
        <v>0</v>
      </c>
      <c r="O26" s="976">
        <f t="shared" si="0"/>
        <v>6000</v>
      </c>
      <c r="P26" s="968" t="s">
        <v>1328</v>
      </c>
      <c r="Q26" s="977"/>
      <c r="R26" s="983" t="s">
        <v>1329</v>
      </c>
      <c r="T26" s="978">
        <v>0</v>
      </c>
      <c r="U26" s="978" t="str">
        <f t="shared" si="1"/>
        <v/>
      </c>
      <c r="V26" s="978"/>
    </row>
    <row r="27" spans="1:40" s="970" customFormat="1" ht="16.5" hidden="1" customHeight="1">
      <c r="A27" s="974" t="s">
        <v>1290</v>
      </c>
      <c r="B27" s="974" t="s">
        <v>1291</v>
      </c>
      <c r="C27" s="975">
        <v>0</v>
      </c>
      <c r="D27" s="975">
        <v>500</v>
      </c>
      <c r="E27" s="975">
        <v>0</v>
      </c>
      <c r="F27" s="975">
        <v>0</v>
      </c>
      <c r="G27" s="975">
        <v>500</v>
      </c>
      <c r="H27" s="975">
        <v>0</v>
      </c>
      <c r="I27" s="975">
        <v>0</v>
      </c>
      <c r="J27" s="975">
        <v>500</v>
      </c>
      <c r="K27" s="975">
        <v>0</v>
      </c>
      <c r="L27" s="975">
        <v>0</v>
      </c>
      <c r="M27" s="975">
        <v>500</v>
      </c>
      <c r="N27" s="975">
        <v>0</v>
      </c>
      <c r="O27" s="976">
        <f t="shared" si="0"/>
        <v>2000</v>
      </c>
      <c r="P27" s="968" t="s">
        <v>1328</v>
      </c>
      <c r="Q27" s="981"/>
      <c r="R27" s="981"/>
      <c r="T27" s="978">
        <v>0</v>
      </c>
      <c r="U27" s="978" t="str">
        <f t="shared" si="1"/>
        <v/>
      </c>
      <c r="V27" s="978"/>
      <c r="W27" s="979"/>
    </row>
    <row r="28" spans="1:40" s="970" customFormat="1" ht="20.25" hidden="1" customHeight="1">
      <c r="A28" s="974" t="s">
        <v>1256</v>
      </c>
      <c r="B28" s="974" t="s">
        <v>1257</v>
      </c>
      <c r="C28" s="975">
        <v>1854</v>
      </c>
      <c r="D28" s="975">
        <v>1854</v>
      </c>
      <c r="E28" s="975">
        <v>1854</v>
      </c>
      <c r="F28" s="975">
        <v>1854</v>
      </c>
      <c r="G28" s="975">
        <v>1854</v>
      </c>
      <c r="H28" s="975">
        <v>1854</v>
      </c>
      <c r="I28" s="975">
        <v>1854</v>
      </c>
      <c r="J28" s="975">
        <v>1854</v>
      </c>
      <c r="K28" s="975">
        <v>1854</v>
      </c>
      <c r="L28" s="975">
        <v>1854</v>
      </c>
      <c r="M28" s="975">
        <v>1854</v>
      </c>
      <c r="N28" s="975">
        <v>1854</v>
      </c>
      <c r="O28" s="976">
        <f t="shared" si="0"/>
        <v>22248</v>
      </c>
      <c r="P28" s="968" t="s">
        <v>1328</v>
      </c>
      <c r="Q28" s="981"/>
      <c r="R28" s="983" t="s">
        <v>1430</v>
      </c>
      <c r="T28" s="978">
        <v>0</v>
      </c>
      <c r="U28" s="978" t="str">
        <f t="shared" si="1"/>
        <v/>
      </c>
      <c r="V28" s="978"/>
      <c r="W28" s="979"/>
    </row>
    <row r="29" spans="1:40" s="970" customFormat="1" ht="11.25" hidden="1">
      <c r="A29" s="974" t="s">
        <v>1315</v>
      </c>
      <c r="B29" s="974" t="s">
        <v>1316</v>
      </c>
      <c r="C29" s="975">
        <v>0</v>
      </c>
      <c r="D29" s="975">
        <v>0</v>
      </c>
      <c r="E29" s="975">
        <v>0</v>
      </c>
      <c r="F29" s="975">
        <v>0</v>
      </c>
      <c r="G29" s="975">
        <v>0</v>
      </c>
      <c r="H29" s="975">
        <v>0</v>
      </c>
      <c r="I29" s="975">
        <v>1030</v>
      </c>
      <c r="J29" s="975">
        <v>0</v>
      </c>
      <c r="K29" s="975">
        <v>0</v>
      </c>
      <c r="L29" s="975">
        <v>0</v>
      </c>
      <c r="M29" s="975">
        <v>0</v>
      </c>
      <c r="N29" s="975">
        <v>0</v>
      </c>
      <c r="O29" s="976">
        <f t="shared" si="0"/>
        <v>1030</v>
      </c>
      <c r="P29" s="968" t="s">
        <v>1328</v>
      </c>
      <c r="Q29" s="977"/>
      <c r="R29" s="983"/>
      <c r="T29" s="978">
        <v>0</v>
      </c>
      <c r="U29" s="978" t="s">
        <v>22</v>
      </c>
      <c r="V29" s="978"/>
      <c r="W29" s="979"/>
    </row>
    <row r="30" spans="1:40" s="970" customFormat="1" ht="11.25" hidden="1">
      <c r="A30" s="974"/>
      <c r="B30" s="974"/>
      <c r="C30" s="975"/>
      <c r="D30" s="975"/>
      <c r="E30" s="975"/>
      <c r="F30" s="975"/>
      <c r="G30" s="975"/>
      <c r="H30" s="975"/>
      <c r="I30" s="975"/>
      <c r="J30" s="975"/>
      <c r="K30" s="975"/>
      <c r="L30" s="975"/>
      <c r="M30" s="975"/>
      <c r="N30" s="975"/>
      <c r="O30" s="976"/>
      <c r="P30" s="968"/>
      <c r="Q30" s="977"/>
      <c r="R30" s="983"/>
      <c r="T30" s="978"/>
      <c r="U30" s="978"/>
      <c r="V30" s="978"/>
      <c r="W30" s="979"/>
    </row>
    <row r="31" spans="1:40" s="970" customFormat="1" ht="15" hidden="1" customHeight="1">
      <c r="A31" s="974" t="s">
        <v>1258</v>
      </c>
      <c r="B31" s="974" t="s">
        <v>1259</v>
      </c>
      <c r="C31" s="975">
        <v>3022</v>
      </c>
      <c r="D31" s="975">
        <v>3022</v>
      </c>
      <c r="E31" s="975">
        <v>3022</v>
      </c>
      <c r="F31" s="975">
        <v>3022</v>
      </c>
      <c r="G31" s="975">
        <v>3022</v>
      </c>
      <c r="H31" s="975">
        <v>3022</v>
      </c>
      <c r="I31" s="975">
        <v>3022</v>
      </c>
      <c r="J31" s="975">
        <v>3022</v>
      </c>
      <c r="K31" s="975">
        <v>3022</v>
      </c>
      <c r="L31" s="975">
        <v>3022</v>
      </c>
      <c r="M31" s="975">
        <v>3022</v>
      </c>
      <c r="N31" s="975">
        <v>3022</v>
      </c>
      <c r="O31" s="976">
        <f t="shared" si="0"/>
        <v>36264</v>
      </c>
      <c r="P31" s="980" t="s">
        <v>1335</v>
      </c>
      <c r="Q31" s="981"/>
      <c r="R31" s="1055" t="s">
        <v>1431</v>
      </c>
      <c r="T31" s="978">
        <v>0</v>
      </c>
      <c r="U31" s="978" t="s">
        <v>1432</v>
      </c>
      <c r="V31" s="978"/>
      <c r="W31" s="984" t="s">
        <v>804</v>
      </c>
      <c r="X31" s="1109"/>
      <c r="Y31" s="985">
        <f>149.09+106+57.15+57.15+491.86+682.74+82.77</f>
        <v>1626.76</v>
      </c>
      <c r="Z31" s="986">
        <v>45974</v>
      </c>
      <c r="AA31" s="986">
        <v>46002</v>
      </c>
      <c r="AB31" s="987">
        <v>46022</v>
      </c>
      <c r="AC31" s="988">
        <f>+AA31-Z31+1</f>
        <v>29</v>
      </c>
      <c r="AD31" s="988">
        <f>+Y31/AC31</f>
        <v>56.095172413793101</v>
      </c>
      <c r="AE31" s="989">
        <f>+AB31-AA31</f>
        <v>20</v>
      </c>
      <c r="AF31" s="990">
        <f>+AD31*AE31</f>
        <v>1121.903448275862</v>
      </c>
    </row>
    <row r="32" spans="1:40" s="970" customFormat="1" ht="15" hidden="1" customHeight="1">
      <c r="A32" s="974" t="s">
        <v>1260</v>
      </c>
      <c r="B32" s="974" t="s">
        <v>1261</v>
      </c>
      <c r="C32" s="975">
        <v>1620</v>
      </c>
      <c r="D32" s="975">
        <v>1620</v>
      </c>
      <c r="E32" s="975">
        <v>1620</v>
      </c>
      <c r="F32" s="975">
        <v>1620</v>
      </c>
      <c r="G32" s="975">
        <v>1620</v>
      </c>
      <c r="H32" s="975">
        <v>1620</v>
      </c>
      <c r="I32" s="975">
        <v>1620</v>
      </c>
      <c r="J32" s="975">
        <v>1620</v>
      </c>
      <c r="K32" s="975">
        <v>1620</v>
      </c>
      <c r="L32" s="975">
        <v>1620</v>
      </c>
      <c r="M32" s="975">
        <v>1620</v>
      </c>
      <c r="N32" s="975">
        <v>1620</v>
      </c>
      <c r="O32" s="976">
        <f t="shared" si="0"/>
        <v>19440</v>
      </c>
      <c r="P32" s="980" t="s">
        <v>1335</v>
      </c>
      <c r="Q32" s="981"/>
      <c r="R32" s="983" t="s">
        <v>1430</v>
      </c>
      <c r="S32" s="970" t="s">
        <v>1337</v>
      </c>
      <c r="T32" s="981">
        <v>0</v>
      </c>
      <c r="U32" s="978" t="str">
        <f t="shared" si="1"/>
        <v/>
      </c>
      <c r="V32" s="978"/>
      <c r="W32" s="991" t="s">
        <v>806</v>
      </c>
      <c r="X32" s="984"/>
      <c r="Y32" s="992"/>
      <c r="Z32" s="984"/>
      <c r="AA32" s="984"/>
      <c r="AB32" s="993"/>
      <c r="AC32" s="811"/>
      <c r="AD32" s="811"/>
      <c r="AE32" s="811"/>
      <c r="AF32" s="811"/>
      <c r="AG32" s="973"/>
      <c r="AH32" s="994"/>
      <c r="AI32" s="994"/>
      <c r="AJ32" s="995"/>
      <c r="AK32" s="996"/>
      <c r="AL32" s="996"/>
      <c r="AM32" s="997"/>
      <c r="AN32" s="997"/>
    </row>
    <row r="33" spans="1:32" s="970" customFormat="1" ht="15" hidden="1" customHeight="1">
      <c r="A33" s="998" t="s">
        <v>1262</v>
      </c>
      <c r="B33" s="974" t="s">
        <v>1263</v>
      </c>
      <c r="C33" s="975">
        <v>11330</v>
      </c>
      <c r="D33" s="975">
        <v>386</v>
      </c>
      <c r="E33" s="975">
        <v>11330</v>
      </c>
      <c r="F33" s="975">
        <v>386</v>
      </c>
      <c r="G33" s="975">
        <v>11330</v>
      </c>
      <c r="H33" s="975">
        <v>386</v>
      </c>
      <c r="I33" s="975">
        <v>11330</v>
      </c>
      <c r="J33" s="975">
        <v>386</v>
      </c>
      <c r="K33" s="975">
        <v>11330</v>
      </c>
      <c r="L33" s="975">
        <v>386</v>
      </c>
      <c r="M33" s="975">
        <v>11330</v>
      </c>
      <c r="N33" s="975">
        <v>386</v>
      </c>
      <c r="O33" s="976">
        <f t="shared" si="0"/>
        <v>70296</v>
      </c>
      <c r="P33" s="980" t="s">
        <v>1335</v>
      </c>
      <c r="Q33" s="981"/>
      <c r="R33" s="981" t="s">
        <v>1449</v>
      </c>
      <c r="S33" s="970" t="s">
        <v>1338</v>
      </c>
      <c r="T33" s="978">
        <v>0</v>
      </c>
      <c r="U33" s="978" t="s">
        <v>1433</v>
      </c>
      <c r="V33" s="978"/>
      <c r="W33" s="984" t="s">
        <v>1280</v>
      </c>
      <c r="X33" s="811" t="s">
        <v>807</v>
      </c>
      <c r="Y33" s="985">
        <f>5998.77+340.24+2021.75+799.3+510.21</f>
        <v>9670.2699999999986</v>
      </c>
      <c r="Z33" s="986">
        <v>45906</v>
      </c>
      <c r="AA33" s="986">
        <v>45967</v>
      </c>
      <c r="AB33" s="987">
        <v>46022</v>
      </c>
      <c r="AC33" s="988">
        <f>+AA33-Z33+1</f>
        <v>62</v>
      </c>
      <c r="AD33" s="988">
        <f>+Y33/AC33</f>
        <v>155.97209677419352</v>
      </c>
      <c r="AE33" s="989">
        <f>+AB33-AA33</f>
        <v>55</v>
      </c>
      <c r="AF33" s="990">
        <f>+AD33*AE33</f>
        <v>8578.4653225806433</v>
      </c>
    </row>
    <row r="34" spans="1:32" s="970" customFormat="1" ht="11.25" hidden="1">
      <c r="A34" s="998" t="s">
        <v>1262</v>
      </c>
      <c r="B34" s="974" t="s">
        <v>1263</v>
      </c>
      <c r="C34" s="975"/>
      <c r="D34" s="975"/>
      <c r="E34" s="975"/>
      <c r="F34" s="975"/>
      <c r="G34" s="975"/>
      <c r="H34" s="975"/>
      <c r="I34" s="975"/>
      <c r="J34" s="975"/>
      <c r="K34" s="975"/>
      <c r="L34" s="975"/>
      <c r="M34" s="975"/>
      <c r="N34" s="975"/>
      <c r="O34" s="976">
        <f t="shared" si="0"/>
        <v>0</v>
      </c>
      <c r="P34" s="980" t="s">
        <v>1335</v>
      </c>
      <c r="Q34" s="981"/>
      <c r="R34" s="981" t="s">
        <v>1434</v>
      </c>
      <c r="S34" s="970" t="s">
        <v>1338</v>
      </c>
      <c r="T34" s="978">
        <v>0</v>
      </c>
      <c r="U34" s="978" t="s">
        <v>1435</v>
      </c>
      <c r="V34" s="978"/>
      <c r="W34" s="1071" t="s">
        <v>808</v>
      </c>
      <c r="X34" s="984" t="s">
        <v>809</v>
      </c>
      <c r="Y34" s="985">
        <f>294.05+193.32</f>
        <v>487.37</v>
      </c>
      <c r="Z34" s="986">
        <v>45959</v>
      </c>
      <c r="AA34" s="986">
        <v>45986</v>
      </c>
      <c r="AB34" s="987">
        <v>46022</v>
      </c>
      <c r="AC34" s="988">
        <f>+AA34-Z34+1</f>
        <v>28</v>
      </c>
      <c r="AD34" s="988">
        <f>+Y34/AC34</f>
        <v>17.40607142857143</v>
      </c>
      <c r="AE34" s="989">
        <f>+AB34-AA34</f>
        <v>36</v>
      </c>
      <c r="AF34" s="990">
        <f>+AD34*AE34</f>
        <v>626.6185714285715</v>
      </c>
    </row>
    <row r="35" spans="1:32" s="970" customFormat="1" ht="11.25" hidden="1">
      <c r="A35" s="974" t="s">
        <v>1264</v>
      </c>
      <c r="B35" s="974" t="s">
        <v>1265</v>
      </c>
      <c r="C35" s="975">
        <v>201</v>
      </c>
      <c r="D35" s="975">
        <v>201</v>
      </c>
      <c r="E35" s="975">
        <v>201</v>
      </c>
      <c r="F35" s="975">
        <v>201</v>
      </c>
      <c r="G35" s="975">
        <v>201</v>
      </c>
      <c r="H35" s="975">
        <v>201</v>
      </c>
      <c r="I35" s="975">
        <v>201</v>
      </c>
      <c r="J35" s="975">
        <v>201</v>
      </c>
      <c r="K35" s="975">
        <v>201</v>
      </c>
      <c r="L35" s="975">
        <v>201</v>
      </c>
      <c r="M35" s="975">
        <v>201</v>
      </c>
      <c r="N35" s="975">
        <v>201</v>
      </c>
      <c r="O35" s="976">
        <f t="shared" si="0"/>
        <v>2412</v>
      </c>
      <c r="P35" s="980" t="s">
        <v>1335</v>
      </c>
      <c r="Q35" s="981"/>
      <c r="R35" s="977" t="s">
        <v>1423</v>
      </c>
      <c r="S35" s="970" t="s">
        <v>1339</v>
      </c>
      <c r="T35" s="978"/>
      <c r="U35" s="978" t="s">
        <v>1421</v>
      </c>
      <c r="V35" s="978"/>
      <c r="W35" s="984" t="s">
        <v>811</v>
      </c>
      <c r="X35" s="984"/>
      <c r="Y35" s="985">
        <v>73.040000000000006</v>
      </c>
      <c r="Z35" s="986">
        <v>45902</v>
      </c>
      <c r="AA35" s="986">
        <v>45931</v>
      </c>
      <c r="AB35" s="987">
        <v>45963</v>
      </c>
      <c r="AC35" s="988">
        <f>+AA35-Z35+1</f>
        <v>30</v>
      </c>
      <c r="AD35" s="988">
        <f>+Y35/AC35</f>
        <v>2.4346666666666668</v>
      </c>
      <c r="AE35" s="989">
        <f>+AB35-AA35</f>
        <v>32</v>
      </c>
      <c r="AF35" s="990">
        <f>+AD35*AE35</f>
        <v>77.909333333333336</v>
      </c>
    </row>
    <row r="36" spans="1:32" s="970" customFormat="1" ht="11.25" hidden="1">
      <c r="A36" s="974" t="s">
        <v>1264</v>
      </c>
      <c r="B36" s="974" t="s">
        <v>1265</v>
      </c>
      <c r="C36" s="975"/>
      <c r="D36" s="975"/>
      <c r="E36" s="975"/>
      <c r="F36" s="975"/>
      <c r="G36" s="975"/>
      <c r="H36" s="975"/>
      <c r="I36" s="975"/>
      <c r="J36" s="975"/>
      <c r="K36" s="975"/>
      <c r="L36" s="975"/>
      <c r="M36" s="975"/>
      <c r="N36" s="975"/>
      <c r="O36" s="976"/>
      <c r="P36" s="980"/>
      <c r="Q36" s="981"/>
      <c r="R36" s="977" t="s">
        <v>1448</v>
      </c>
      <c r="S36" s="970" t="s">
        <v>1339</v>
      </c>
      <c r="T36" s="978">
        <v>0</v>
      </c>
      <c r="U36" s="978" t="s">
        <v>1421</v>
      </c>
      <c r="V36" s="978"/>
      <c r="W36" s="984"/>
      <c r="X36" s="984"/>
      <c r="Y36" s="985">
        <v>73.040000000000006</v>
      </c>
      <c r="Z36" s="986">
        <v>45964</v>
      </c>
      <c r="AA36" s="986">
        <v>45993</v>
      </c>
      <c r="AB36" s="987">
        <v>46022</v>
      </c>
      <c r="AC36" s="988">
        <f>+AA36-Z36+1</f>
        <v>30</v>
      </c>
      <c r="AD36" s="988">
        <f>+Y36/AC36</f>
        <v>2.4346666666666668</v>
      </c>
      <c r="AE36" s="989">
        <f>+AB36-AA36</f>
        <v>29</v>
      </c>
      <c r="AF36" s="990">
        <f>+AD36*AE36</f>
        <v>70.605333333333334</v>
      </c>
    </row>
    <row r="37" spans="1:32" s="970" customFormat="1" ht="11.25" hidden="1">
      <c r="A37" s="974" t="s">
        <v>1266</v>
      </c>
      <c r="B37" s="974" t="s">
        <v>1340</v>
      </c>
      <c r="C37" s="975">
        <v>10183</v>
      </c>
      <c r="D37" s="975">
        <v>10183</v>
      </c>
      <c r="E37" s="975">
        <v>10183</v>
      </c>
      <c r="F37" s="975">
        <v>10183</v>
      </c>
      <c r="G37" s="975">
        <v>10183</v>
      </c>
      <c r="H37" s="975">
        <v>10183</v>
      </c>
      <c r="I37" s="975">
        <v>10183</v>
      </c>
      <c r="J37" s="975">
        <v>10183</v>
      </c>
      <c r="K37" s="975">
        <v>10183</v>
      </c>
      <c r="L37" s="975">
        <v>10183</v>
      </c>
      <c r="M37" s="975">
        <v>10183</v>
      </c>
      <c r="N37" s="975">
        <v>10183</v>
      </c>
      <c r="O37" s="976">
        <f t="shared" si="0"/>
        <v>122196</v>
      </c>
      <c r="P37" s="980" t="s">
        <v>1335</v>
      </c>
      <c r="Q37" s="969"/>
      <c r="R37" s="969" t="s">
        <v>1436</v>
      </c>
      <c r="S37" s="970" t="s">
        <v>1341</v>
      </c>
      <c r="T37" s="978">
        <v>0</v>
      </c>
      <c r="U37" s="978" t="s">
        <v>1437</v>
      </c>
      <c r="V37" s="999"/>
      <c r="W37" s="991" t="s">
        <v>815</v>
      </c>
      <c r="X37" s="984"/>
      <c r="Y37" s="985">
        <f>1259.59+109.65+917.59+2429.77+9135.1</f>
        <v>13851.7</v>
      </c>
      <c r="Z37" s="986">
        <v>45870</v>
      </c>
      <c r="AA37" s="986">
        <v>45930</v>
      </c>
      <c r="AB37" s="987">
        <v>46022</v>
      </c>
      <c r="AC37" s="988">
        <f>+AA37-Z37+1</f>
        <v>61</v>
      </c>
      <c r="AD37" s="988">
        <f>+Y37/AC37</f>
        <v>227.07704918032789</v>
      </c>
      <c r="AE37" s="989">
        <f>+AB37-AA37</f>
        <v>92</v>
      </c>
      <c r="AF37" s="990">
        <f>+AD37*AE37</f>
        <v>20891.088524590166</v>
      </c>
    </row>
    <row r="38" spans="1:32" s="970" customFormat="1" ht="11.25" hidden="1">
      <c r="A38" s="974" t="s">
        <v>1267</v>
      </c>
      <c r="B38" s="974" t="s">
        <v>1268</v>
      </c>
      <c r="C38" s="975">
        <v>8803</v>
      </c>
      <c r="D38" s="975">
        <v>8803</v>
      </c>
      <c r="E38" s="975">
        <v>8803</v>
      </c>
      <c r="F38" s="975">
        <v>8803</v>
      </c>
      <c r="G38" s="975">
        <v>25003</v>
      </c>
      <c r="H38" s="975">
        <v>8803</v>
      </c>
      <c r="I38" s="975">
        <v>8803</v>
      </c>
      <c r="J38" s="975">
        <v>8803</v>
      </c>
      <c r="K38" s="975">
        <v>8803</v>
      </c>
      <c r="L38" s="975">
        <v>8803</v>
      </c>
      <c r="M38" s="975">
        <v>25003</v>
      </c>
      <c r="N38" s="975">
        <v>8803</v>
      </c>
      <c r="O38" s="976">
        <f t="shared" si="0"/>
        <v>138036</v>
      </c>
      <c r="P38" s="980" t="s">
        <v>1335</v>
      </c>
      <c r="Q38" s="1001"/>
      <c r="R38" s="969" t="s">
        <v>1329</v>
      </c>
      <c r="T38" s="978">
        <v>0</v>
      </c>
      <c r="U38" s="978" t="str">
        <f t="shared" si="1"/>
        <v/>
      </c>
      <c r="V38" s="1002"/>
      <c r="W38" s="991"/>
      <c r="X38" s="984"/>
      <c r="Y38" s="985"/>
      <c r="Z38" s="986"/>
      <c r="AA38" s="986"/>
      <c r="AB38" s="987"/>
      <c r="AC38" s="988"/>
      <c r="AD38" s="988"/>
      <c r="AE38" s="989"/>
      <c r="AF38" s="990"/>
    </row>
    <row r="39" spans="1:32" s="970" customFormat="1" ht="11.25" hidden="1">
      <c r="A39" s="974" t="s">
        <v>1269</v>
      </c>
      <c r="B39" s="974" t="s">
        <v>1270</v>
      </c>
      <c r="C39" s="975">
        <v>2800</v>
      </c>
      <c r="D39" s="975">
        <v>2800</v>
      </c>
      <c r="E39" s="975">
        <v>2800</v>
      </c>
      <c r="F39" s="975">
        <v>2800</v>
      </c>
      <c r="G39" s="975">
        <v>2800</v>
      </c>
      <c r="H39" s="975">
        <v>2800</v>
      </c>
      <c r="I39" s="975">
        <v>2800</v>
      </c>
      <c r="J39" s="975">
        <v>2800</v>
      </c>
      <c r="K39" s="975">
        <v>2800</v>
      </c>
      <c r="L39" s="975">
        <v>2800</v>
      </c>
      <c r="M39" s="975">
        <v>2800</v>
      </c>
      <c r="N39" s="975">
        <v>2800</v>
      </c>
      <c r="O39" s="976">
        <f t="shared" si="0"/>
        <v>33600</v>
      </c>
      <c r="P39" s="980" t="s">
        <v>1335</v>
      </c>
      <c r="Q39" s="1003"/>
      <c r="R39" s="969" t="s">
        <v>1329</v>
      </c>
      <c r="T39" s="978">
        <v>0</v>
      </c>
      <c r="U39" s="978" t="str">
        <f t="shared" si="1"/>
        <v/>
      </c>
      <c r="V39" s="1004"/>
      <c r="W39" s="984"/>
      <c r="X39" s="984"/>
      <c r="Y39" s="985">
        <v>0</v>
      </c>
      <c r="Z39" s="986"/>
      <c r="AA39" s="986"/>
      <c r="AB39" s="987"/>
      <c r="AC39" s="988"/>
      <c r="AD39" s="988"/>
      <c r="AE39" s="989"/>
      <c r="AF39" s="990"/>
    </row>
    <row r="40" spans="1:32" s="970" customFormat="1" ht="11.25" hidden="1">
      <c r="A40" s="974" t="s">
        <v>1271</v>
      </c>
      <c r="B40" s="974" t="s">
        <v>1272</v>
      </c>
      <c r="C40" s="975">
        <v>145</v>
      </c>
      <c r="D40" s="975">
        <v>145</v>
      </c>
      <c r="E40" s="975">
        <v>145</v>
      </c>
      <c r="F40" s="975">
        <v>145</v>
      </c>
      <c r="G40" s="975">
        <v>145</v>
      </c>
      <c r="H40" s="975">
        <v>145</v>
      </c>
      <c r="I40" s="975">
        <v>145</v>
      </c>
      <c r="J40" s="975">
        <v>145</v>
      </c>
      <c r="K40" s="975">
        <v>145</v>
      </c>
      <c r="L40" s="975">
        <v>145</v>
      </c>
      <c r="M40" s="975">
        <v>145</v>
      </c>
      <c r="N40" s="975">
        <v>145</v>
      </c>
      <c r="O40" s="976">
        <f t="shared" si="0"/>
        <v>1740</v>
      </c>
      <c r="P40" s="980" t="s">
        <v>1335</v>
      </c>
      <c r="Q40" s="1005"/>
      <c r="R40" s="969" t="s">
        <v>1424</v>
      </c>
      <c r="S40" s="970" t="s">
        <v>1339</v>
      </c>
      <c r="T40" s="978"/>
      <c r="U40" s="978" t="s">
        <v>1422</v>
      </c>
      <c r="V40" s="999"/>
      <c r="W40" s="984" t="s">
        <v>816</v>
      </c>
      <c r="X40" s="984"/>
      <c r="Y40" s="985">
        <v>73.040000000000006</v>
      </c>
      <c r="Z40" s="986">
        <v>45902</v>
      </c>
      <c r="AA40" s="986">
        <v>45931</v>
      </c>
      <c r="AB40" s="987">
        <v>45963</v>
      </c>
      <c r="AC40" s="988">
        <f>+AA40-Z40+1</f>
        <v>30</v>
      </c>
      <c r="AD40" s="988">
        <f>+Y40/AC40</f>
        <v>2.4346666666666668</v>
      </c>
      <c r="AE40" s="989">
        <f>+AB40-AA40</f>
        <v>32</v>
      </c>
      <c r="AF40" s="990">
        <f>+AD40*AE40</f>
        <v>77.909333333333336</v>
      </c>
    </row>
    <row r="41" spans="1:32" s="970" customFormat="1" ht="11.25" hidden="1">
      <c r="A41" s="974" t="s">
        <v>1271</v>
      </c>
      <c r="B41" s="974" t="s">
        <v>1272</v>
      </c>
      <c r="C41" s="975"/>
      <c r="D41" s="975"/>
      <c r="E41" s="975"/>
      <c r="F41" s="975"/>
      <c r="G41" s="975"/>
      <c r="H41" s="975"/>
      <c r="I41" s="975"/>
      <c r="J41" s="975"/>
      <c r="K41" s="975"/>
      <c r="L41" s="975"/>
      <c r="M41" s="975"/>
      <c r="N41" s="975"/>
      <c r="O41" s="976"/>
      <c r="P41" s="980"/>
      <c r="Q41" s="1005"/>
      <c r="R41" s="977" t="s">
        <v>1448</v>
      </c>
      <c r="S41" s="970" t="s">
        <v>1339</v>
      </c>
      <c r="T41" s="978">
        <v>0</v>
      </c>
      <c r="U41" s="978" t="s">
        <v>1422</v>
      </c>
      <c r="V41" s="999"/>
      <c r="W41" s="984"/>
      <c r="X41" s="984"/>
      <c r="Y41" s="985">
        <v>73.040000000000006</v>
      </c>
      <c r="Z41" s="986">
        <v>45964</v>
      </c>
      <c r="AA41" s="986">
        <v>45993</v>
      </c>
      <c r="AB41" s="987">
        <v>46022</v>
      </c>
      <c r="AC41" s="988">
        <f>+AA41-Z41+1</f>
        <v>30</v>
      </c>
      <c r="AD41" s="988">
        <f>+Y41/AC41</f>
        <v>2.4346666666666668</v>
      </c>
      <c r="AE41" s="989">
        <f>+AB41-AA41</f>
        <v>29</v>
      </c>
      <c r="AF41" s="990">
        <f>+AD41*AE41</f>
        <v>70.605333333333334</v>
      </c>
    </row>
    <row r="42" spans="1:32" s="970" customFormat="1" ht="11.25" hidden="1">
      <c r="A42" s="974" t="s">
        <v>1252</v>
      </c>
      <c r="B42" s="974" t="s">
        <v>1429</v>
      </c>
      <c r="C42" s="975"/>
      <c r="D42" s="975"/>
      <c r="E42" s="975"/>
      <c r="F42" s="975"/>
      <c r="G42" s="975"/>
      <c r="H42" s="975"/>
      <c r="I42" s="975"/>
      <c r="J42" s="975"/>
      <c r="K42" s="975"/>
      <c r="L42" s="975"/>
      <c r="M42" s="975"/>
      <c r="N42" s="975"/>
      <c r="O42" s="976"/>
      <c r="P42" s="980"/>
      <c r="Q42" s="1005"/>
      <c r="R42" s="969"/>
      <c r="T42" s="978">
        <v>0</v>
      </c>
      <c r="U42" s="978"/>
      <c r="V42" s="999"/>
      <c r="W42" s="984"/>
      <c r="X42" s="984"/>
      <c r="Y42" s="985"/>
      <c r="Z42" s="986"/>
      <c r="AA42" s="986"/>
      <c r="AB42" s="987"/>
      <c r="AC42" s="988"/>
      <c r="AD42" s="988"/>
      <c r="AE42" s="989"/>
      <c r="AF42" s="990"/>
    </row>
    <row r="43" spans="1:32" s="970" customFormat="1" ht="11.25">
      <c r="A43" s="974" t="s">
        <v>1273</v>
      </c>
      <c r="B43" s="974" t="s">
        <v>1274</v>
      </c>
      <c r="C43" s="975">
        <v>2976</v>
      </c>
      <c r="D43" s="975">
        <v>2976</v>
      </c>
      <c r="E43" s="975">
        <v>2976</v>
      </c>
      <c r="F43" s="975">
        <v>2976</v>
      </c>
      <c r="G43" s="975">
        <v>2976</v>
      </c>
      <c r="H43" s="975">
        <v>2976</v>
      </c>
      <c r="I43" s="975">
        <v>2976</v>
      </c>
      <c r="J43" s="975">
        <v>2976</v>
      </c>
      <c r="K43" s="975">
        <v>2976</v>
      </c>
      <c r="L43" s="975">
        <v>2976</v>
      </c>
      <c r="M43" s="975">
        <v>2976</v>
      </c>
      <c r="N43" s="975">
        <v>2976</v>
      </c>
      <c r="O43" s="976">
        <f t="shared" si="0"/>
        <v>35712</v>
      </c>
      <c r="P43" s="980" t="s">
        <v>1335</v>
      </c>
      <c r="Q43" s="1005"/>
      <c r="R43" s="983" t="s">
        <v>1430</v>
      </c>
      <c r="T43" s="978">
        <v>1865.58</v>
      </c>
      <c r="U43" s="978" t="s">
        <v>1438</v>
      </c>
      <c r="V43" s="999"/>
      <c r="W43" s="991"/>
      <c r="X43" s="984"/>
      <c r="Y43" s="984"/>
      <c r="Z43" s="984"/>
      <c r="AA43" s="984"/>
      <c r="AB43" s="984"/>
      <c r="AC43" s="1000"/>
      <c r="AD43" s="1000"/>
      <c r="AE43" s="1000"/>
      <c r="AF43" s="1000"/>
    </row>
    <row r="44" spans="1:32" s="970" customFormat="1" ht="11.25" hidden="1">
      <c r="A44" s="974" t="s">
        <v>1275</v>
      </c>
      <c r="B44" s="974" t="s">
        <v>1276</v>
      </c>
      <c r="C44" s="975">
        <v>6500</v>
      </c>
      <c r="D44" s="975">
        <v>6500</v>
      </c>
      <c r="E44" s="975">
        <v>6500</v>
      </c>
      <c r="F44" s="975">
        <v>6500</v>
      </c>
      <c r="G44" s="975">
        <v>6500</v>
      </c>
      <c r="H44" s="975">
        <v>6500</v>
      </c>
      <c r="I44" s="975">
        <v>6500</v>
      </c>
      <c r="J44" s="975">
        <v>6500</v>
      </c>
      <c r="K44" s="975">
        <v>6500</v>
      </c>
      <c r="L44" s="975">
        <v>6500</v>
      </c>
      <c r="M44" s="975">
        <v>6500</v>
      </c>
      <c r="N44" s="975">
        <v>6500</v>
      </c>
      <c r="O44" s="976">
        <f t="shared" si="0"/>
        <v>78000</v>
      </c>
      <c r="P44" s="980" t="s">
        <v>1335</v>
      </c>
      <c r="Q44" s="1006"/>
      <c r="R44" s="983" t="s">
        <v>1430</v>
      </c>
      <c r="S44" s="970" t="s">
        <v>1337</v>
      </c>
      <c r="T44" s="978">
        <v>0</v>
      </c>
      <c r="U44" s="978" t="s">
        <v>1439</v>
      </c>
      <c r="V44" s="1007"/>
      <c r="W44" s="991" t="s">
        <v>806</v>
      </c>
      <c r="X44" s="984"/>
      <c r="Y44" s="984"/>
      <c r="Z44" s="984"/>
      <c r="AA44" s="984"/>
      <c r="AB44" s="984"/>
      <c r="AC44" s="1000"/>
      <c r="AD44" s="1000"/>
      <c r="AE44" s="1000"/>
      <c r="AF44" s="1000"/>
    </row>
    <row r="45" spans="1:32" s="970" customFormat="1" ht="11.25" hidden="1">
      <c r="A45" s="970" t="s">
        <v>1277</v>
      </c>
      <c r="B45" s="974" t="s">
        <v>1278</v>
      </c>
      <c r="C45" s="975">
        <v>16337</v>
      </c>
      <c r="D45" s="975">
        <v>16337</v>
      </c>
      <c r="E45" s="975">
        <v>16337</v>
      </c>
      <c r="F45" s="975">
        <v>16337</v>
      </c>
      <c r="G45" s="975">
        <v>16337</v>
      </c>
      <c r="H45" s="975">
        <v>16337</v>
      </c>
      <c r="I45" s="975">
        <v>16337</v>
      </c>
      <c r="J45" s="975">
        <v>16337</v>
      </c>
      <c r="K45" s="975">
        <v>16337</v>
      </c>
      <c r="L45" s="975">
        <v>16337</v>
      </c>
      <c r="M45" s="975">
        <v>16832</v>
      </c>
      <c r="N45" s="975">
        <v>16832</v>
      </c>
      <c r="O45" s="976">
        <f>SUM(C45:N45)</f>
        <v>197034</v>
      </c>
      <c r="P45" s="980" t="s">
        <v>1335</v>
      </c>
      <c r="Q45" s="1006"/>
      <c r="R45" s="983" t="s">
        <v>1430</v>
      </c>
      <c r="S45" s="970" t="s">
        <v>1344</v>
      </c>
      <c r="T45" s="978">
        <v>0</v>
      </c>
      <c r="U45" s="978" t="s">
        <v>1440</v>
      </c>
      <c r="V45" s="1007"/>
      <c r="W45" s="1008" t="s">
        <v>831</v>
      </c>
      <c r="X45" s="984"/>
      <c r="Y45" s="984"/>
      <c r="Z45" s="984"/>
      <c r="AA45" s="1009"/>
      <c r="AB45" s="984"/>
      <c r="AC45" s="1000"/>
      <c r="AD45" s="1000"/>
      <c r="AE45" s="1000"/>
      <c r="AF45" s="1000"/>
    </row>
    <row r="46" spans="1:32" s="970" customFormat="1" ht="40.5" customHeight="1" thickBot="1">
      <c r="F46" s="1010"/>
      <c r="G46" s="1010"/>
      <c r="P46" s="1011"/>
      <c r="Q46" s="1006"/>
      <c r="R46" s="1006"/>
      <c r="T46" s="1007"/>
      <c r="U46" s="978" t="str">
        <f t="shared" si="1"/>
        <v/>
      </c>
      <c r="V46" s="1007"/>
      <c r="W46" s="1012"/>
      <c r="X46" s="1013"/>
      <c r="Y46" s="1012"/>
      <c r="Z46" s="1014"/>
      <c r="AA46" s="1012"/>
      <c r="AB46" s="1012"/>
      <c r="AC46" s="1015"/>
      <c r="AD46" s="1015"/>
      <c r="AE46" s="1015"/>
      <c r="AF46" s="1015"/>
    </row>
    <row r="47" spans="1:32" s="970" customFormat="1" ht="15" customHeight="1" thickBot="1">
      <c r="A47" s="1043" t="s">
        <v>1181</v>
      </c>
      <c r="B47" s="993" t="s">
        <v>1330</v>
      </c>
      <c r="F47" s="1010"/>
      <c r="G47" s="1010"/>
      <c r="P47" s="1011"/>
      <c r="Q47" s="1006"/>
      <c r="R47" s="1006"/>
      <c r="T47" s="1044">
        <f>SUM(T8:T46)-0.01</f>
        <v>9365.57</v>
      </c>
      <c r="U47" s="1010"/>
      <c r="V47" s="1010"/>
      <c r="W47" s="984"/>
      <c r="X47" s="984"/>
      <c r="Y47" s="984"/>
      <c r="Z47" s="984"/>
      <c r="AA47" s="984"/>
      <c r="AB47" s="984"/>
      <c r="AC47" s="1000"/>
      <c r="AD47" s="1000"/>
      <c r="AE47" s="1000"/>
      <c r="AF47" s="1000"/>
    </row>
    <row r="48" spans="1:32" s="970" customFormat="1" ht="15" customHeight="1" thickBot="1">
      <c r="F48" s="1010"/>
      <c r="G48" s="1010"/>
      <c r="P48" s="1011"/>
      <c r="Q48" s="1006"/>
      <c r="R48" s="969"/>
      <c r="S48" s="1016"/>
      <c r="T48" s="1004"/>
      <c r="U48" s="1010"/>
      <c r="V48" s="1010"/>
      <c r="W48" s="984"/>
      <c r="X48" s="984"/>
      <c r="Y48" s="984"/>
      <c r="Z48" s="984"/>
      <c r="AA48" s="984"/>
      <c r="AB48" s="984"/>
      <c r="AC48" s="1000"/>
      <c r="AD48" s="1000"/>
      <c r="AE48" s="1000"/>
      <c r="AF48" s="1000"/>
    </row>
    <row r="49" spans="6:32" s="970" customFormat="1" ht="15" customHeight="1" thickBot="1">
      <c r="F49" s="1010"/>
      <c r="G49" s="1010"/>
      <c r="J49" s="1017"/>
      <c r="P49" s="1011"/>
      <c r="Q49" s="1006"/>
      <c r="R49" s="969"/>
      <c r="S49" s="1047" t="str">
        <f>RIGHT(A2,5)&amp;"-000000"</f>
        <v>20650-000000</v>
      </c>
      <c r="T49" s="1048" cm="1">
        <f t="array" ref="T49">-IFERROR(INDEX('TB '!$G:$G,MATCH(S49,'TB '!$A:$A,0),0),0)</f>
        <v>9365.57</v>
      </c>
      <c r="U49" s="1010"/>
      <c r="V49" s="1010"/>
      <c r="W49" s="1244" t="s">
        <v>727</v>
      </c>
      <c r="X49" s="1245"/>
      <c r="Y49" s="1245"/>
      <c r="Z49" s="1246"/>
      <c r="AA49" s="1018"/>
      <c r="AB49" s="19"/>
      <c r="AC49" s="1000"/>
      <c r="AD49" s="1000"/>
      <c r="AE49" s="1000"/>
      <c r="AF49" s="1000"/>
    </row>
    <row r="50" spans="6:32" s="970" customFormat="1" ht="15" customHeight="1">
      <c r="F50" s="1010"/>
      <c r="G50" s="1010"/>
      <c r="P50" s="1011"/>
      <c r="Q50" s="1006"/>
      <c r="R50" s="969"/>
      <c r="S50" s="1047" t="s">
        <v>712</v>
      </c>
      <c r="T50" s="1049">
        <f>+T47-T49</f>
        <v>0</v>
      </c>
      <c r="U50" s="1010"/>
      <c r="V50" s="1010"/>
      <c r="W50" s="1019" t="s">
        <v>728</v>
      </c>
      <c r="X50" s="1020" t="s">
        <v>729</v>
      </c>
      <c r="Y50" s="1020" t="s">
        <v>730</v>
      </c>
      <c r="Z50" s="1021"/>
      <c r="AA50" s="1018"/>
      <c r="AB50" s="19"/>
      <c r="AC50" s="1000"/>
      <c r="AD50" s="1000"/>
      <c r="AE50" s="1000"/>
      <c r="AF50" s="1000"/>
    </row>
    <row r="51" spans="6:32" s="970" customFormat="1" ht="15" customHeight="1">
      <c r="G51" s="1010"/>
      <c r="P51" s="1011"/>
      <c r="Q51" s="1006"/>
      <c r="R51" s="969"/>
      <c r="S51" s="1022"/>
      <c r="T51" s="1023"/>
      <c r="U51" s="1010"/>
      <c r="V51" s="1010"/>
      <c r="W51" s="1024"/>
      <c r="X51" s="1025">
        <v>5500873513</v>
      </c>
      <c r="Y51" s="1026">
        <v>55140</v>
      </c>
      <c r="Z51" s="1027" t="s">
        <v>731</v>
      </c>
      <c r="AA51" s="1018"/>
      <c r="AB51" s="19"/>
      <c r="AC51" s="1000"/>
      <c r="AD51" s="1000"/>
      <c r="AE51" s="1000"/>
      <c r="AF51" s="1000"/>
    </row>
    <row r="52" spans="6:32" s="970" customFormat="1" ht="15" customHeight="1">
      <c r="G52" s="1010"/>
      <c r="P52" s="1011"/>
      <c r="Q52" s="1006"/>
      <c r="R52" s="969"/>
      <c r="T52" s="1010"/>
      <c r="U52" s="1010"/>
      <c r="V52" s="1010"/>
      <c r="W52" s="1028"/>
      <c r="X52" s="19">
        <v>5500874513</v>
      </c>
      <c r="Y52" s="1029">
        <v>55140</v>
      </c>
      <c r="Z52" s="1030" t="s">
        <v>731</v>
      </c>
      <c r="AA52" s="1018"/>
      <c r="AB52" s="19"/>
    </row>
    <row r="53" spans="6:32" s="970" customFormat="1" ht="15" customHeight="1">
      <c r="P53" s="1011"/>
      <c r="Q53" s="1006"/>
      <c r="R53" s="969"/>
      <c r="T53" s="1010"/>
      <c r="U53" s="1010"/>
      <c r="V53" s="1010"/>
      <c r="W53" s="1028"/>
      <c r="X53" s="1031">
        <v>8546278012</v>
      </c>
      <c r="Y53" s="1032">
        <v>55140</v>
      </c>
      <c r="Z53" s="1030" t="s">
        <v>731</v>
      </c>
      <c r="AA53" s="1018"/>
      <c r="AB53" s="19"/>
    </row>
    <row r="54" spans="6:32" s="970" customFormat="1" ht="15" customHeight="1">
      <c r="P54" s="1011"/>
      <c r="Q54" s="1006"/>
      <c r="R54" s="969"/>
      <c r="T54" s="1010"/>
      <c r="U54" s="1059"/>
      <c r="V54" s="1010"/>
      <c r="W54" s="1028"/>
      <c r="X54" s="1031">
        <v>8546278910</v>
      </c>
      <c r="Y54" s="1029">
        <v>55140</v>
      </c>
      <c r="Z54" s="1030" t="s">
        <v>731</v>
      </c>
      <c r="AA54" s="1018"/>
      <c r="AB54" s="19"/>
    </row>
    <row r="55" spans="6:32" s="970" customFormat="1" ht="15" customHeight="1">
      <c r="P55" s="1011"/>
      <c r="Q55" s="1006"/>
      <c r="R55" s="969"/>
      <c r="S55" s="970">
        <f>381020.77</f>
        <v>381020.77</v>
      </c>
      <c r="T55" s="1010"/>
      <c r="U55" s="1010"/>
      <c r="V55" s="1010"/>
      <c r="W55" s="1028"/>
      <c r="X55" s="1031">
        <v>8546274910</v>
      </c>
      <c r="Y55" s="1032">
        <v>55140</v>
      </c>
      <c r="Z55" s="1030" t="s">
        <v>731</v>
      </c>
      <c r="AA55" s="1018"/>
      <c r="AB55" s="19"/>
    </row>
    <row r="56" spans="6:32" s="970" customFormat="1" ht="15" customHeight="1">
      <c r="P56" s="1011"/>
      <c r="Q56" s="1006"/>
      <c r="R56" s="969"/>
      <c r="T56" s="1010"/>
      <c r="U56" s="1010"/>
      <c r="V56" s="1010"/>
      <c r="W56" s="1028"/>
      <c r="X56" s="1031">
        <v>8546276013</v>
      </c>
      <c r="Y56" s="1032">
        <v>55140</v>
      </c>
      <c r="Z56" s="1030" t="s">
        <v>731</v>
      </c>
      <c r="AA56" s="1018"/>
      <c r="AB56" s="19"/>
    </row>
    <row r="57" spans="6:32" s="970" customFormat="1" ht="15" customHeight="1">
      <c r="P57" s="1011"/>
      <c r="Q57" s="1006"/>
      <c r="R57" s="969"/>
      <c r="S57" s="970">
        <f>S55*0.045</f>
        <v>17145.934649999999</v>
      </c>
      <c r="T57" s="1010"/>
      <c r="U57" s="1010"/>
      <c r="V57" s="1010"/>
      <c r="W57" s="1028"/>
      <c r="X57" s="1031">
        <v>8546360013</v>
      </c>
      <c r="Y57" s="1029">
        <v>55140</v>
      </c>
      <c r="Z57" s="1030" t="s">
        <v>731</v>
      </c>
      <c r="AA57" s="1018"/>
      <c r="AB57" s="19"/>
    </row>
    <row r="58" spans="6:32" s="970" customFormat="1" ht="15" customHeight="1">
      <c r="P58" s="1011"/>
      <c r="Q58" s="1006"/>
      <c r="R58" s="969"/>
      <c r="T58" s="1010"/>
      <c r="U58" s="1010"/>
      <c r="V58" s="1010"/>
      <c r="W58" s="1028"/>
      <c r="X58" s="19"/>
      <c r="Y58" s="1029"/>
      <c r="Z58" s="1030"/>
      <c r="AA58" s="1018"/>
      <c r="AB58" s="19"/>
    </row>
    <row r="59" spans="6:32" s="970" customFormat="1" ht="15" customHeight="1">
      <c r="P59" s="1011"/>
      <c r="Q59" s="1006"/>
      <c r="R59" s="969"/>
      <c r="T59" s="1010"/>
      <c r="U59" s="1010"/>
      <c r="V59" s="1010"/>
      <c r="W59" s="1028"/>
      <c r="X59" s="19"/>
      <c r="Y59" s="1029"/>
      <c r="Z59" s="1030"/>
      <c r="AA59" s="1018"/>
      <c r="AB59" s="19"/>
    </row>
    <row r="60" spans="6:32" s="970" customFormat="1" ht="15" customHeight="1">
      <c r="P60" s="1011"/>
      <c r="Q60" s="1006"/>
      <c r="R60" s="969"/>
      <c r="T60" s="1010"/>
      <c r="U60" s="1010"/>
      <c r="V60" s="1010"/>
      <c r="W60" s="1028" t="s">
        <v>732</v>
      </c>
      <c r="X60" s="19" t="s">
        <v>733</v>
      </c>
      <c r="Y60" s="1029">
        <v>55150</v>
      </c>
      <c r="Z60" s="1030" t="s">
        <v>734</v>
      </c>
      <c r="AA60" s="1018" t="s">
        <v>735</v>
      </c>
      <c r="AB60" s="19" t="s">
        <v>736</v>
      </c>
    </row>
    <row r="61" spans="6:32" s="970" customFormat="1" ht="15" customHeight="1">
      <c r="P61" s="1011"/>
      <c r="Q61" s="1006"/>
      <c r="R61" s="969"/>
      <c r="T61" s="1010"/>
      <c r="U61" s="1010"/>
      <c r="V61" s="1010"/>
      <c r="W61" s="1033" t="s">
        <v>737</v>
      </c>
      <c r="X61" s="19" t="s">
        <v>738</v>
      </c>
      <c r="Y61" s="1029">
        <v>55150</v>
      </c>
      <c r="Z61" s="1030" t="s">
        <v>734</v>
      </c>
      <c r="AA61" s="1018" t="s">
        <v>739</v>
      </c>
      <c r="AB61" s="19" t="s">
        <v>736</v>
      </c>
    </row>
    <row r="62" spans="6:32" s="970" customFormat="1" ht="15" customHeight="1">
      <c r="P62" s="1011"/>
      <c r="Q62" s="1006"/>
      <c r="R62" s="969"/>
      <c r="T62" s="1010"/>
      <c r="U62" s="1010"/>
      <c r="V62" s="1010"/>
      <c r="W62" s="1034"/>
      <c r="X62" s="811"/>
      <c r="Y62" s="19"/>
      <c r="Z62" s="1030"/>
      <c r="AA62" s="1018"/>
      <c r="AB62" s="19"/>
    </row>
    <row r="63" spans="6:32" s="970" customFormat="1" ht="15" customHeight="1">
      <c r="P63" s="1011"/>
      <c r="Q63" s="1006"/>
      <c r="R63" s="969"/>
      <c r="T63" s="1010"/>
      <c r="U63" s="1010"/>
      <c r="V63" s="1010"/>
      <c r="W63" s="1028"/>
      <c r="X63" s="1031" t="s">
        <v>740</v>
      </c>
      <c r="Y63" s="1029">
        <v>55180</v>
      </c>
      <c r="Z63" s="1030" t="s">
        <v>741</v>
      </c>
      <c r="AA63" s="1018"/>
      <c r="AB63" s="19"/>
    </row>
    <row r="64" spans="6:32" s="970" customFormat="1" ht="15" customHeight="1">
      <c r="P64" s="1011"/>
      <c r="Q64" s="1006"/>
      <c r="R64" s="969"/>
      <c r="T64" s="1010"/>
      <c r="U64" s="1010"/>
      <c r="V64" s="1010"/>
      <c r="W64" s="1028"/>
      <c r="X64" s="1031" t="s">
        <v>742</v>
      </c>
      <c r="Y64" s="1029">
        <v>55180</v>
      </c>
      <c r="Z64" s="1030" t="s">
        <v>741</v>
      </c>
      <c r="AA64" s="1018"/>
      <c r="AB64" s="19"/>
    </row>
    <row r="65" spans="16:28" s="970" customFormat="1" ht="15" customHeight="1">
      <c r="P65" s="1011"/>
      <c r="Q65" s="1006"/>
      <c r="R65" s="969"/>
      <c r="T65" s="1010"/>
      <c r="U65" s="1010"/>
      <c r="V65" s="1010"/>
      <c r="W65" s="1028"/>
      <c r="X65" s="1031" t="s">
        <v>743</v>
      </c>
      <c r="Y65" s="1029">
        <v>55180</v>
      </c>
      <c r="Z65" s="1030" t="s">
        <v>741</v>
      </c>
      <c r="AA65" s="1018"/>
      <c r="AB65" s="19"/>
    </row>
    <row r="66" spans="16:28" s="970" customFormat="1" ht="15" customHeight="1">
      <c r="P66" s="1011"/>
      <c r="Q66" s="1006"/>
      <c r="R66" s="969"/>
      <c r="T66" s="1010"/>
      <c r="U66" s="1010"/>
      <c r="V66" s="1010"/>
      <c r="W66" s="1035"/>
      <c r="X66" s="19"/>
      <c r="Y66" s="1029"/>
      <c r="Z66" s="1030"/>
      <c r="AA66" s="1018"/>
      <c r="AB66" s="19"/>
    </row>
    <row r="67" spans="16:28" s="970" customFormat="1" ht="15" customHeight="1" thickBot="1">
      <c r="P67" s="1011"/>
      <c r="Q67" s="1006"/>
      <c r="R67" s="969"/>
      <c r="T67" s="1010"/>
      <c r="U67" s="1010"/>
      <c r="V67" s="1010"/>
      <c r="W67" s="1036"/>
      <c r="X67" s="1037"/>
      <c r="Y67" s="1038"/>
      <c r="Z67" s="1039"/>
      <c r="AA67" s="1018"/>
      <c r="AB67" s="19"/>
    </row>
    <row r="68" spans="16:28" s="970" customFormat="1" ht="15" customHeight="1">
      <c r="P68" s="1011"/>
      <c r="Q68" s="1006"/>
      <c r="R68" s="969"/>
      <c r="T68" s="1010"/>
      <c r="U68" s="1010"/>
      <c r="V68" s="1010"/>
      <c r="W68" s="19"/>
      <c r="X68" s="19"/>
      <c r="Y68" s="19"/>
      <c r="Z68" s="19"/>
      <c r="AA68" s="1018"/>
      <c r="AB68" s="19"/>
    </row>
    <row r="69" spans="16:28" s="970" customFormat="1" ht="15" customHeight="1" thickBot="1">
      <c r="P69" s="1011"/>
      <c r="Q69" s="1006"/>
      <c r="R69" s="969"/>
      <c r="T69" s="1010"/>
      <c r="U69" s="1010"/>
      <c r="V69" s="1010"/>
      <c r="W69" s="19"/>
      <c r="X69" s="19"/>
      <c r="Y69" s="19"/>
      <c r="Z69" s="19"/>
      <c r="AA69" s="1018"/>
      <c r="AB69" s="19"/>
    </row>
    <row r="70" spans="16:28" s="970" customFormat="1" ht="15" customHeight="1" thickBot="1">
      <c r="P70" s="1011"/>
      <c r="Q70" s="1006"/>
      <c r="R70" s="969"/>
      <c r="T70" s="1010"/>
      <c r="U70" s="1010"/>
      <c r="V70" s="1010"/>
      <c r="W70" s="1244" t="s">
        <v>744</v>
      </c>
      <c r="X70" s="1245"/>
      <c r="Y70" s="1245"/>
      <c r="Z70" s="1246"/>
      <c r="AA70" s="1018"/>
      <c r="AB70" s="19"/>
    </row>
    <row r="71" spans="16:28" s="970" customFormat="1" ht="15" customHeight="1">
      <c r="P71" s="1011"/>
      <c r="Q71" s="1006"/>
      <c r="R71" s="969"/>
      <c r="T71" s="1010"/>
      <c r="U71" s="1010"/>
      <c r="V71" s="1010"/>
      <c r="W71" s="1019" t="s">
        <v>728</v>
      </c>
      <c r="X71" s="1020" t="s">
        <v>729</v>
      </c>
      <c r="Y71" s="1020" t="s">
        <v>730</v>
      </c>
      <c r="Z71" s="1021"/>
      <c r="AA71" s="1018"/>
      <c r="AB71" s="19"/>
    </row>
    <row r="72" spans="16:28" s="970" customFormat="1" ht="15" customHeight="1">
      <c r="P72" s="1011"/>
      <c r="Q72" s="1006"/>
      <c r="R72" s="969"/>
      <c r="T72" s="1010"/>
      <c r="U72" s="1010"/>
      <c r="V72" s="1010"/>
      <c r="W72" s="1035"/>
      <c r="X72" s="19"/>
      <c r="Y72" s="19"/>
      <c r="Z72" s="1030"/>
      <c r="AA72" s="1018"/>
      <c r="AB72" s="19"/>
    </row>
    <row r="73" spans="16:28" s="970" customFormat="1" ht="15" customHeight="1">
      <c r="P73" s="1011"/>
      <c r="Q73" s="1006"/>
      <c r="R73" s="969"/>
      <c r="T73" s="1010"/>
      <c r="U73" s="1010"/>
      <c r="V73" s="1010"/>
      <c r="W73" s="1035" t="s">
        <v>745</v>
      </c>
      <c r="X73" s="1040" t="s">
        <v>746</v>
      </c>
      <c r="Y73" s="1029">
        <v>55110</v>
      </c>
      <c r="Z73" s="1030"/>
      <c r="AA73" s="1018"/>
      <c r="AB73" s="19"/>
    </row>
    <row r="74" spans="16:28" s="970" customFormat="1" ht="15" customHeight="1">
      <c r="P74" s="1011"/>
      <c r="Q74" s="1006"/>
      <c r="R74" s="969"/>
      <c r="T74" s="1010"/>
      <c r="U74" s="1010"/>
      <c r="V74" s="1010"/>
      <c r="W74" s="1035" t="s">
        <v>747</v>
      </c>
      <c r="X74" s="1040" t="s">
        <v>748</v>
      </c>
      <c r="Y74" s="1029">
        <v>55110</v>
      </c>
      <c r="Z74" s="1030"/>
      <c r="AA74" s="1018"/>
      <c r="AB74" s="19"/>
    </row>
    <row r="75" spans="16:28" s="970" customFormat="1" ht="15" customHeight="1">
      <c r="P75" s="1011"/>
      <c r="Q75" s="1006"/>
      <c r="R75" s="969"/>
      <c r="T75" s="1010"/>
      <c r="U75" s="1010"/>
      <c r="V75" s="1010"/>
      <c r="W75" s="1035" t="s">
        <v>749</v>
      </c>
      <c r="X75" s="1040" t="s">
        <v>750</v>
      </c>
      <c r="Y75" s="1029">
        <v>55110</v>
      </c>
      <c r="Z75" s="1030"/>
      <c r="AA75" s="1018"/>
      <c r="AB75" s="19"/>
    </row>
    <row r="76" spans="16:28" s="970" customFormat="1" ht="15" customHeight="1">
      <c r="P76" s="1011"/>
      <c r="Q76" s="1006"/>
      <c r="R76" s="969"/>
      <c r="T76" s="1010"/>
      <c r="U76" s="1010"/>
      <c r="V76" s="1010"/>
      <c r="W76" s="1035" t="s">
        <v>751</v>
      </c>
      <c r="X76" s="1040" t="s">
        <v>752</v>
      </c>
      <c r="Y76" s="1029">
        <v>55110</v>
      </c>
      <c r="Z76" s="1030"/>
      <c r="AA76" s="1018"/>
      <c r="AB76" s="19"/>
    </row>
    <row r="77" spans="16:28" s="970" customFormat="1" ht="15" customHeight="1">
      <c r="P77" s="1011"/>
      <c r="Q77" s="1006"/>
      <c r="R77" s="969"/>
      <c r="T77" s="1010"/>
      <c r="U77" s="1010"/>
      <c r="V77" s="1010"/>
      <c r="W77" s="1035" t="s">
        <v>753</v>
      </c>
      <c r="X77" s="1040" t="s">
        <v>754</v>
      </c>
      <c r="Y77" s="1029">
        <v>55110</v>
      </c>
      <c r="Z77" s="1030"/>
      <c r="AA77" s="1018"/>
      <c r="AB77" s="19"/>
    </row>
    <row r="78" spans="16:28" s="970" customFormat="1" ht="15" customHeight="1">
      <c r="P78" s="1011"/>
      <c r="Q78" s="1006"/>
      <c r="R78" s="969"/>
      <c r="T78" s="1010"/>
      <c r="U78" s="1010"/>
      <c r="V78" s="1010"/>
      <c r="W78" s="1028" t="s">
        <v>755</v>
      </c>
      <c r="X78" s="1040" t="s">
        <v>756</v>
      </c>
      <c r="Y78" s="1029">
        <v>55110</v>
      </c>
      <c r="Z78" s="1030"/>
      <c r="AA78" s="1018"/>
      <c r="AB78" s="19"/>
    </row>
    <row r="79" spans="16:28" s="970" customFormat="1" ht="15" customHeight="1">
      <c r="P79" s="1011"/>
      <c r="Q79" s="1006"/>
      <c r="R79" s="969"/>
      <c r="T79" s="1010"/>
      <c r="U79" s="1010"/>
      <c r="V79" s="1010"/>
      <c r="W79" s="1035" t="s">
        <v>757</v>
      </c>
      <c r="X79" s="1040" t="s">
        <v>758</v>
      </c>
      <c r="Y79" s="1029">
        <v>55110</v>
      </c>
      <c r="Z79" s="1030"/>
      <c r="AA79" s="1018"/>
      <c r="AB79" s="19"/>
    </row>
    <row r="80" spans="16:28" s="970" customFormat="1" ht="15" customHeight="1" thickBot="1">
      <c r="P80" s="1011"/>
      <c r="Q80" s="1006"/>
      <c r="R80" s="969"/>
      <c r="T80" s="1010"/>
      <c r="U80" s="1010"/>
      <c r="V80" s="1010"/>
      <c r="W80" s="1036"/>
      <c r="X80" s="1037"/>
      <c r="Y80" s="1038"/>
      <c r="Z80" s="1039"/>
      <c r="AA80" s="1018"/>
      <c r="AB80" s="19"/>
    </row>
    <row r="81" spans="3:28" s="970" customFormat="1" ht="15" customHeight="1">
      <c r="P81" s="1011"/>
      <c r="Q81" s="1006"/>
      <c r="R81" s="969"/>
      <c r="T81" s="1010"/>
      <c r="U81" s="1010"/>
      <c r="V81" s="1010"/>
      <c r="W81" s="19"/>
      <c r="X81" s="1041" t="s">
        <v>759</v>
      </c>
      <c r="Y81" s="19"/>
      <c r="Z81" s="19"/>
      <c r="AA81" s="1018"/>
      <c r="AB81" s="19"/>
    </row>
    <row r="82" spans="3:28" s="970" customFormat="1" ht="15" customHeight="1">
      <c r="P82" s="1011"/>
      <c r="Q82" s="1006"/>
      <c r="R82" s="969"/>
      <c r="T82" s="1010"/>
      <c r="U82" s="1010"/>
      <c r="V82" s="1010"/>
      <c r="W82" s="19"/>
      <c r="X82" s="19"/>
      <c r="Y82" s="19"/>
      <c r="Z82" s="19"/>
      <c r="AA82" s="1018"/>
      <c r="AB82" s="19"/>
    </row>
    <row r="83" spans="3:28" s="970" customFormat="1" ht="15" customHeight="1">
      <c r="P83" s="1011"/>
      <c r="Q83" s="1006"/>
      <c r="R83" s="969"/>
      <c r="T83" s="1010"/>
      <c r="U83" s="1010"/>
      <c r="V83" s="1010"/>
      <c r="W83" s="19" t="s">
        <v>747</v>
      </c>
      <c r="X83" s="1042" t="s">
        <v>760</v>
      </c>
      <c r="Y83" s="19" t="s">
        <v>761</v>
      </c>
      <c r="Z83" s="19"/>
      <c r="AA83" s="1018"/>
      <c r="AB83" s="19"/>
    </row>
    <row r="84" spans="3:28" s="970" customFormat="1" ht="15" customHeight="1">
      <c r="P84" s="1011"/>
      <c r="Q84" s="1006"/>
      <c r="R84" s="969"/>
      <c r="T84" s="1010"/>
      <c r="U84" s="1010"/>
      <c r="V84" s="1010"/>
      <c r="W84" s="19" t="s">
        <v>745</v>
      </c>
      <c r="X84" s="1042" t="s">
        <v>762</v>
      </c>
      <c r="Y84" s="19"/>
      <c r="Z84" s="19"/>
      <c r="AA84" s="1018"/>
      <c r="AB84" s="19"/>
    </row>
    <row r="85" spans="3:28" s="970" customFormat="1" ht="15" customHeight="1">
      <c r="P85" s="1011"/>
      <c r="Q85" s="1006"/>
      <c r="R85" s="969"/>
      <c r="T85" s="1010"/>
      <c r="U85" s="1010"/>
      <c r="V85" s="1010"/>
      <c r="W85" s="19" t="s">
        <v>753</v>
      </c>
      <c r="X85" s="1042" t="s">
        <v>763</v>
      </c>
      <c r="Y85" s="19" t="s">
        <v>761</v>
      </c>
      <c r="Z85" s="19"/>
      <c r="AA85" s="1018"/>
      <c r="AB85" s="19"/>
    </row>
    <row r="86" spans="3:28" s="970" customFormat="1" ht="15" customHeight="1">
      <c r="P86" s="1011"/>
      <c r="Q86" s="1006"/>
      <c r="R86" s="969"/>
      <c r="T86" s="1010"/>
      <c r="U86" s="1010"/>
      <c r="V86" s="1010"/>
      <c r="W86" s="19" t="s">
        <v>757</v>
      </c>
      <c r="X86" s="1042" t="s">
        <v>764</v>
      </c>
      <c r="Y86" s="19"/>
      <c r="Z86" s="19"/>
      <c r="AA86" s="1018"/>
      <c r="AB86" s="19"/>
    </row>
    <row r="87" spans="3:28" s="970" customFormat="1" ht="15" customHeight="1">
      <c r="P87" s="1011"/>
      <c r="Q87" s="1006"/>
      <c r="R87" s="969"/>
      <c r="T87" s="1010"/>
      <c r="U87" s="1010"/>
      <c r="V87" s="1010"/>
      <c r="W87" s="19" t="s">
        <v>751</v>
      </c>
      <c r="X87" s="1042" t="s">
        <v>765</v>
      </c>
      <c r="Y87" s="19"/>
      <c r="Z87" s="19"/>
      <c r="AA87" s="1018"/>
      <c r="AB87" s="19"/>
    </row>
    <row r="88" spans="3:28" s="970" customFormat="1" ht="15" customHeight="1">
      <c r="P88" s="1011"/>
      <c r="Q88" s="1006"/>
      <c r="R88" s="969"/>
      <c r="T88" s="1010"/>
      <c r="U88" s="1010"/>
      <c r="V88" s="1010"/>
      <c r="W88" s="19" t="s">
        <v>749</v>
      </c>
      <c r="X88" s="1042" t="s">
        <v>766</v>
      </c>
      <c r="Y88" s="19"/>
      <c r="Z88" s="19"/>
      <c r="AA88" s="1018"/>
      <c r="AB88" s="19"/>
    </row>
    <row r="89" spans="3:28" s="970" customFormat="1" ht="15" customHeight="1">
      <c r="P89" s="1011"/>
      <c r="Q89" s="1006"/>
      <c r="R89" s="969"/>
      <c r="T89" s="1010"/>
      <c r="U89" s="1010"/>
      <c r="V89" s="1010"/>
      <c r="W89" s="19" t="s">
        <v>755</v>
      </c>
      <c r="X89" s="1042" t="s">
        <v>767</v>
      </c>
      <c r="Y89" s="19" t="s">
        <v>761</v>
      </c>
      <c r="Z89" s="19"/>
      <c r="AA89" s="1018"/>
      <c r="AB89" s="19"/>
    </row>
    <row r="90" spans="3:28" s="970" customFormat="1" ht="15" customHeight="1">
      <c r="C90" s="948"/>
      <c r="D90" s="948"/>
      <c r="E90" s="948"/>
      <c r="F90" s="948"/>
      <c r="G90" s="948"/>
      <c r="H90" s="948"/>
      <c r="I90" s="948"/>
      <c r="J90" s="948"/>
      <c r="K90" s="948"/>
      <c r="L90" s="948"/>
      <c r="M90" s="948"/>
      <c r="N90" s="948"/>
      <c r="O90" s="948"/>
      <c r="P90" s="949"/>
      <c r="Q90" s="950"/>
      <c r="R90" s="958"/>
      <c r="T90" s="1010"/>
      <c r="U90" s="1010"/>
      <c r="V90" s="1010"/>
    </row>
    <row r="91" spans="3:28" s="970" customFormat="1" ht="15" customHeight="1">
      <c r="C91" s="948"/>
      <c r="D91" s="948"/>
      <c r="E91" s="948"/>
      <c r="F91" s="948"/>
      <c r="G91" s="948"/>
      <c r="H91" s="948"/>
      <c r="I91" s="948"/>
      <c r="J91" s="948"/>
      <c r="K91" s="948"/>
      <c r="L91" s="948"/>
      <c r="M91" s="948"/>
      <c r="N91" s="948"/>
      <c r="O91" s="948"/>
      <c r="P91" s="949"/>
      <c r="Q91" s="950"/>
      <c r="R91" s="958"/>
      <c r="T91" s="1010"/>
      <c r="U91" s="1010"/>
      <c r="V91" s="1010"/>
    </row>
    <row r="92" spans="3:28" s="970" customFormat="1" ht="15" customHeight="1">
      <c r="C92" s="948"/>
      <c r="D92" s="948"/>
      <c r="E92" s="948"/>
      <c r="F92" s="948"/>
      <c r="G92" s="948"/>
      <c r="H92" s="948"/>
      <c r="I92" s="948"/>
      <c r="J92" s="948"/>
      <c r="K92" s="948"/>
      <c r="L92" s="948"/>
      <c r="M92" s="948"/>
      <c r="N92" s="948"/>
      <c r="O92" s="948"/>
      <c r="P92" s="949"/>
      <c r="Q92" s="950"/>
      <c r="R92" s="958"/>
      <c r="T92" s="1010"/>
      <c r="U92" s="1010"/>
      <c r="V92" s="1010"/>
    </row>
    <row r="93" spans="3:28" s="970" customFormat="1" ht="15" customHeight="1">
      <c r="C93" s="948"/>
      <c r="D93" s="948"/>
      <c r="E93" s="948"/>
      <c r="F93" s="948"/>
      <c r="G93" s="948"/>
      <c r="H93" s="948"/>
      <c r="I93" s="948"/>
      <c r="J93" s="948"/>
      <c r="K93" s="948"/>
      <c r="L93" s="948"/>
      <c r="M93" s="948"/>
      <c r="N93" s="948"/>
      <c r="O93" s="948"/>
      <c r="P93" s="949"/>
      <c r="Q93" s="950"/>
      <c r="R93" s="958"/>
      <c r="T93" s="1010"/>
      <c r="U93" s="1010"/>
      <c r="V93" s="1010"/>
    </row>
    <row r="94" spans="3:28" s="970" customFormat="1" ht="15" customHeight="1">
      <c r="C94" s="948"/>
      <c r="D94" s="948"/>
      <c r="E94" s="948"/>
      <c r="F94" s="948"/>
      <c r="G94" s="948"/>
      <c r="H94" s="948"/>
      <c r="I94" s="948"/>
      <c r="J94" s="948"/>
      <c r="K94" s="948"/>
      <c r="L94" s="948"/>
      <c r="M94" s="948"/>
      <c r="N94" s="948"/>
      <c r="O94" s="948"/>
      <c r="P94" s="949"/>
      <c r="Q94" s="950"/>
      <c r="R94" s="958"/>
      <c r="T94" s="1010"/>
      <c r="U94" s="1010"/>
      <c r="V94" s="1010"/>
    </row>
    <row r="95" spans="3:28" s="970" customFormat="1" ht="15" customHeight="1">
      <c r="C95" s="948"/>
      <c r="D95" s="948"/>
      <c r="E95" s="948"/>
      <c r="F95" s="948"/>
      <c r="G95" s="948"/>
      <c r="H95" s="948"/>
      <c r="I95" s="948"/>
      <c r="J95" s="948"/>
      <c r="K95" s="948"/>
      <c r="L95" s="948"/>
      <c r="M95" s="948"/>
      <c r="N95" s="948"/>
      <c r="O95" s="948"/>
      <c r="P95" s="949"/>
      <c r="Q95" s="950"/>
      <c r="R95" s="958"/>
      <c r="T95" s="1010"/>
      <c r="U95" s="1010"/>
      <c r="V95" s="1010"/>
    </row>
    <row r="96" spans="3:28" s="970" customFormat="1" ht="15" customHeight="1">
      <c r="C96" s="948"/>
      <c r="D96" s="948"/>
      <c r="E96" s="948"/>
      <c r="F96" s="948"/>
      <c r="G96" s="948"/>
      <c r="H96" s="948"/>
      <c r="I96" s="948"/>
      <c r="J96" s="948"/>
      <c r="K96" s="948"/>
      <c r="L96" s="948"/>
      <c r="M96" s="948"/>
      <c r="N96" s="948"/>
      <c r="O96" s="948"/>
      <c r="P96" s="949"/>
      <c r="Q96" s="950"/>
      <c r="R96" s="958"/>
      <c r="T96" s="1010"/>
      <c r="U96" s="1010"/>
      <c r="V96" s="1010"/>
    </row>
    <row r="97" spans="3:22" s="970" customFormat="1" ht="15" customHeight="1">
      <c r="C97" s="948"/>
      <c r="D97" s="948"/>
      <c r="E97" s="948"/>
      <c r="F97" s="948"/>
      <c r="G97" s="948"/>
      <c r="H97" s="948"/>
      <c r="I97" s="948"/>
      <c r="J97" s="948"/>
      <c r="K97" s="948"/>
      <c r="L97" s="948"/>
      <c r="M97" s="948"/>
      <c r="N97" s="948"/>
      <c r="O97" s="948"/>
      <c r="P97" s="949"/>
      <c r="Q97" s="950"/>
      <c r="R97" s="958"/>
      <c r="T97" s="1010"/>
      <c r="U97" s="1010"/>
      <c r="V97" s="1010"/>
    </row>
    <row r="98" spans="3:22" s="970" customFormat="1" ht="15" customHeight="1">
      <c r="C98" s="948"/>
      <c r="D98" s="948"/>
      <c r="E98" s="948"/>
      <c r="F98" s="948"/>
      <c r="G98" s="948"/>
      <c r="H98" s="948"/>
      <c r="I98" s="948"/>
      <c r="J98" s="948"/>
      <c r="K98" s="948"/>
      <c r="L98" s="948"/>
      <c r="M98" s="948"/>
      <c r="N98" s="948"/>
      <c r="O98" s="948"/>
      <c r="P98" s="949"/>
      <c r="Q98" s="950"/>
      <c r="R98" s="958"/>
      <c r="T98" s="1010"/>
      <c r="U98" s="1010"/>
      <c r="V98" s="1010"/>
    </row>
    <row r="99" spans="3:22" s="970" customFormat="1" ht="15" customHeight="1">
      <c r="C99" s="948"/>
      <c r="D99" s="948"/>
      <c r="E99" s="948"/>
      <c r="F99" s="948"/>
      <c r="G99" s="948"/>
      <c r="H99" s="948"/>
      <c r="I99" s="948"/>
      <c r="J99" s="948"/>
      <c r="K99" s="948"/>
      <c r="L99" s="948"/>
      <c r="M99" s="948"/>
      <c r="N99" s="948"/>
      <c r="O99" s="948"/>
      <c r="P99" s="949"/>
      <c r="Q99" s="950"/>
      <c r="R99" s="958"/>
      <c r="T99" s="1010"/>
      <c r="U99" s="1010"/>
      <c r="V99" s="1010"/>
    </row>
    <row r="100" spans="3:22" s="970" customFormat="1" ht="15" customHeight="1">
      <c r="C100" s="948"/>
      <c r="D100" s="948"/>
      <c r="E100" s="948"/>
      <c r="F100" s="948"/>
      <c r="G100" s="948"/>
      <c r="H100" s="948"/>
      <c r="I100" s="948"/>
      <c r="J100" s="948"/>
      <c r="K100" s="948"/>
      <c r="L100" s="948"/>
      <c r="M100" s="948"/>
      <c r="N100" s="948"/>
      <c r="O100" s="948"/>
      <c r="P100" s="949"/>
      <c r="Q100" s="950"/>
      <c r="R100" s="958"/>
      <c r="T100" s="1010"/>
      <c r="U100" s="1010"/>
      <c r="V100" s="1010"/>
    </row>
    <row r="101" spans="3:22" ht="15" customHeight="1"/>
    <row r="102" spans="3:22" ht="15" customHeight="1"/>
    <row r="103" spans="3:22" ht="15" customHeight="1"/>
    <row r="105" spans="3:22">
      <c r="V105" s="965"/>
    </row>
    <row r="125" spans="23:23">
      <c r="W125" s="948" t="s">
        <v>1345</v>
      </c>
    </row>
  </sheetData>
  <autoFilter ref="A6:U45" xr:uid="{F808C395-B4A2-4AF9-AC75-9D9FE985447B}">
    <filterColumn colId="19">
      <filters>
        <filter val="$1,865.58"/>
        <filter val="$7,500.00"/>
      </filters>
    </filterColumn>
  </autoFilter>
  <mergeCells count="5">
    <mergeCell ref="A1:U1"/>
    <mergeCell ref="A2:U2"/>
    <mergeCell ref="A3:U3"/>
    <mergeCell ref="W49:Z49"/>
    <mergeCell ref="W70:Z70"/>
  </mergeCells>
  <printOptions horizontalCentered="1"/>
  <pageMargins left="0.75" right="0.28000000000000003" top="0.75" bottom="0.5" header="0.5" footer="0.5"/>
  <pageSetup scale="85" orientation="landscape" horizontalDpi="4294967292" verticalDpi="4294967292" r:id="rId1"/>
  <headerFooter alignWithMargins="0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46">
    <pageSetUpPr fitToPage="1"/>
  </sheetPr>
  <dimension ref="A1:AI94"/>
  <sheetViews>
    <sheetView topLeftCell="B1" zoomScale="90" zoomScaleNormal="90" workbookViewId="0">
      <pane ySplit="7" topLeftCell="A28" activePane="bottomLeft" state="frozen"/>
      <selection activeCell="B1" sqref="B1"/>
      <selection pane="bottomLeft" activeCell="B45" sqref="B45"/>
    </sheetView>
  </sheetViews>
  <sheetFormatPr defaultColWidth="8.5703125" defaultRowHeight="12.75"/>
  <cols>
    <col min="1" max="1" width="12.5703125" hidden="1" customWidth="1"/>
    <col min="2" max="2" width="11" customWidth="1"/>
    <col min="3" max="3" width="15.42578125" bestFit="1" customWidth="1"/>
    <col min="4" max="4" width="20" customWidth="1"/>
    <col min="5" max="5" width="46.42578125" customWidth="1"/>
    <col min="6" max="6" width="15.5703125" style="481" customWidth="1"/>
    <col min="7" max="7" width="23.85546875" customWidth="1"/>
    <col min="8" max="8" width="41.42578125" customWidth="1"/>
    <col min="9" max="9" width="13.5703125" bestFit="1" customWidth="1"/>
    <col min="10" max="10" width="9.5703125" bestFit="1" customWidth="1"/>
    <col min="11" max="11" width="10.42578125" customWidth="1"/>
    <col min="12" max="12" width="16.5703125" bestFit="1" customWidth="1"/>
    <col min="13" max="13" width="7.140625" customWidth="1"/>
    <col min="14" max="14" width="12.42578125" bestFit="1" customWidth="1"/>
    <col min="15" max="15" width="12.5703125" bestFit="1" customWidth="1"/>
    <col min="16" max="16" width="14.42578125" bestFit="1" customWidth="1"/>
    <col min="17" max="17" width="8.5703125" customWidth="1"/>
    <col min="18" max="18" width="10" style="333" customWidth="1"/>
    <col min="19" max="19" width="8.5703125" style="333" customWidth="1"/>
    <col min="20" max="20" width="12.42578125" style="333" customWidth="1"/>
    <col min="21" max="21" width="11.42578125" style="333" customWidth="1"/>
    <col min="22" max="27" width="8.5703125" style="333" customWidth="1"/>
    <col min="28" max="29" width="9.42578125" style="333" customWidth="1"/>
    <col min="30" max="34" width="8.5703125" style="333" customWidth="1"/>
    <col min="35" max="16384" width="8.5703125" style="333"/>
  </cols>
  <sheetData>
    <row r="1" spans="1:35" ht="18">
      <c r="A1" s="1222" t="str">
        <f>'Review Comments'!B9</f>
        <v>COCONUT GROVE RETAIL XIII, LLC</v>
      </c>
      <c r="B1" s="1223"/>
      <c r="C1" s="1223"/>
      <c r="D1" s="1223"/>
      <c r="E1" s="1223"/>
      <c r="F1" s="1224"/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</row>
    <row r="2" spans="1:35" ht="18">
      <c r="A2" s="1225" t="s">
        <v>774</v>
      </c>
      <c r="B2" s="1202"/>
      <c r="C2" s="1202"/>
      <c r="D2" s="1202"/>
      <c r="E2" s="1202"/>
      <c r="F2" s="1203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</row>
    <row r="3" spans="1:35" ht="18.75" thickBot="1">
      <c r="A3" s="1226" t="str">
        <f>'Review Comments'!B11</f>
        <v>FOR THE MONTH 07/31/2026</v>
      </c>
      <c r="B3" s="1227"/>
      <c r="C3" s="1227"/>
      <c r="D3" s="1227"/>
      <c r="E3" s="1227"/>
      <c r="F3" s="1228"/>
      <c r="G3" s="296"/>
      <c r="H3" s="296"/>
      <c r="I3" s="305"/>
      <c r="J3" s="305"/>
      <c r="K3" s="296"/>
      <c r="L3" s="296"/>
      <c r="M3" s="296"/>
      <c r="N3" s="296"/>
      <c r="O3" s="296"/>
      <c r="P3" s="296"/>
      <c r="Q3" s="296"/>
    </row>
    <row r="4" spans="1:35">
      <c r="A4" s="296"/>
      <c r="B4" s="296"/>
      <c r="C4" s="296"/>
      <c r="D4" s="296"/>
      <c r="E4" s="296"/>
      <c r="G4" s="296"/>
      <c r="H4" s="780"/>
      <c r="I4" s="703"/>
      <c r="J4" s="703"/>
      <c r="K4" s="1"/>
      <c r="L4" s="1"/>
      <c r="M4" s="1"/>
      <c r="N4" s="1"/>
      <c r="O4" s="296"/>
      <c r="P4" s="296"/>
      <c r="Q4" s="296"/>
    </row>
    <row r="5" spans="1:35" ht="13.5" thickBot="1">
      <c r="A5" s="296"/>
      <c r="B5" s="296"/>
      <c r="C5" s="296"/>
      <c r="D5" s="296"/>
      <c r="E5" s="296"/>
      <c r="G5" s="296"/>
      <c r="H5" s="781"/>
      <c r="K5" s="200"/>
      <c r="L5" s="628"/>
      <c r="M5" s="628"/>
      <c r="N5" s="782"/>
      <c r="O5" s="296"/>
      <c r="P5" s="296"/>
      <c r="Q5" s="296"/>
    </row>
    <row r="6" spans="1:35">
      <c r="A6" s="431"/>
      <c r="B6" s="431"/>
      <c r="C6" s="432"/>
      <c r="D6" s="432"/>
      <c r="E6" s="432"/>
      <c r="F6" s="877"/>
      <c r="G6" s="296"/>
      <c r="H6" s="781"/>
      <c r="K6" s="200"/>
      <c r="L6" s="333"/>
      <c r="M6" s="628"/>
      <c r="N6" s="333"/>
      <c r="O6" s="296"/>
      <c r="P6" s="296"/>
      <c r="Q6" s="296"/>
    </row>
    <row r="7" spans="1:35" s="1" customFormat="1" ht="26.25" thickBot="1">
      <c r="A7" s="417" t="s">
        <v>303</v>
      </c>
      <c r="B7" s="417" t="s">
        <v>544</v>
      </c>
      <c r="C7" s="418"/>
      <c r="D7" s="418" t="s">
        <v>471</v>
      </c>
      <c r="E7" s="418" t="s">
        <v>10</v>
      </c>
      <c r="F7" s="878" t="s">
        <v>11</v>
      </c>
      <c r="G7" s="434"/>
      <c r="H7" s="434"/>
      <c r="I7" s="434"/>
      <c r="J7" s="434"/>
      <c r="K7" s="434"/>
      <c r="L7" s="434"/>
      <c r="M7" s="305"/>
      <c r="N7" s="305"/>
      <c r="O7" s="305"/>
      <c r="P7" s="305"/>
      <c r="Q7" s="305"/>
    </row>
    <row r="8" spans="1:35" s="1" customFormat="1">
      <c r="A8" s="476"/>
      <c r="B8" s="772"/>
      <c r="C8" s="434"/>
      <c r="D8" s="434"/>
      <c r="E8" s="434"/>
      <c r="F8" s="879"/>
      <c r="G8" s="434"/>
      <c r="H8" s="434"/>
      <c r="I8" s="434"/>
      <c r="J8" s="779"/>
      <c r="K8" s="779"/>
      <c r="L8" s="434"/>
      <c r="M8" s="305"/>
      <c r="N8" s="305"/>
      <c r="O8" s="305"/>
      <c r="P8" s="305"/>
      <c r="Q8" s="305"/>
    </row>
    <row r="9" spans="1:35" ht="15" hidden="1" customHeight="1">
      <c r="A9" s="435"/>
      <c r="B9" s="773">
        <v>50170</v>
      </c>
      <c r="C9" s="333"/>
      <c r="D9" s="333"/>
      <c r="E9" s="333" t="s">
        <v>775</v>
      </c>
      <c r="F9" s="880">
        <v>0</v>
      </c>
      <c r="G9" s="750"/>
      <c r="H9" s="336"/>
      <c r="I9" s="296"/>
      <c r="J9" s="296"/>
      <c r="K9" s="296"/>
      <c r="L9" s="296"/>
      <c r="M9" s="296"/>
      <c r="N9" s="296"/>
      <c r="O9" s="296"/>
      <c r="P9" s="296"/>
      <c r="Q9" s="296"/>
      <c r="AI9" s="333" t="s">
        <v>776</v>
      </c>
    </row>
    <row r="10" spans="1:35" ht="14.25" hidden="1" customHeight="1">
      <c r="A10" s="435"/>
      <c r="B10" s="773">
        <v>51040</v>
      </c>
      <c r="C10" s="674"/>
      <c r="D10" s="555"/>
      <c r="E10" s="296" t="s">
        <v>777</v>
      </c>
      <c r="F10" s="880">
        <v>0</v>
      </c>
      <c r="G10" s="750"/>
      <c r="H10" s="336"/>
      <c r="I10" s="296"/>
      <c r="J10" s="296"/>
      <c r="K10" s="296"/>
      <c r="L10" s="296"/>
      <c r="M10" s="296"/>
      <c r="N10" s="296"/>
      <c r="O10" s="296"/>
      <c r="P10" s="296"/>
      <c r="Q10" s="296"/>
    </row>
    <row r="11" spans="1:35" ht="14.25" customHeight="1">
      <c r="A11" s="435"/>
      <c r="B11" s="773"/>
      <c r="C11" s="674"/>
      <c r="D11" s="555"/>
      <c r="E11" s="296"/>
      <c r="F11" s="880"/>
      <c r="G11" s="750"/>
      <c r="H11" s="336"/>
      <c r="I11" s="296"/>
      <c r="J11" s="296"/>
      <c r="K11" s="296"/>
      <c r="L11" s="296"/>
      <c r="M11" s="296"/>
      <c r="N11" s="296"/>
      <c r="O11" s="296"/>
      <c r="P11" s="296"/>
      <c r="Q11" s="296"/>
    </row>
    <row r="12" spans="1:35" ht="14.25" customHeight="1">
      <c r="A12" s="435"/>
      <c r="B12" s="773">
        <v>50160</v>
      </c>
      <c r="C12" s="674"/>
      <c r="D12" s="555" t="s">
        <v>778</v>
      </c>
      <c r="E12" s="296" t="s">
        <v>779</v>
      </c>
      <c r="F12" s="881">
        <v>25000</v>
      </c>
      <c r="G12" s="481"/>
      <c r="H12" s="336"/>
      <c r="I12" s="705"/>
      <c r="J12" s="296"/>
      <c r="K12" s="296"/>
      <c r="L12" s="296"/>
      <c r="M12" s="296"/>
      <c r="N12" s="296"/>
      <c r="O12" s="296"/>
      <c r="P12" s="296"/>
      <c r="Q12" s="296"/>
    </row>
    <row r="13" spans="1:35" ht="16.350000000000001" hidden="1" customHeight="1">
      <c r="A13" s="435"/>
      <c r="B13" s="773">
        <v>50210</v>
      </c>
      <c r="C13" s="674"/>
      <c r="D13" s="555" t="s">
        <v>780</v>
      </c>
      <c r="E13" s="296" t="s">
        <v>781</v>
      </c>
      <c r="F13" s="880">
        <v>0</v>
      </c>
      <c r="G13" s="750"/>
      <c r="H13" s="336"/>
      <c r="I13" s="705"/>
      <c r="J13" s="670"/>
      <c r="K13" s="296"/>
      <c r="L13" s="296"/>
      <c r="M13" s="296"/>
      <c r="N13" s="296"/>
      <c r="O13" s="296"/>
      <c r="P13" s="296"/>
      <c r="Q13" s="296"/>
    </row>
    <row r="14" spans="1:35" hidden="1">
      <c r="A14" s="435"/>
      <c r="B14" s="773">
        <v>51050</v>
      </c>
      <c r="C14" s="674"/>
      <c r="D14" s="555" t="s">
        <v>782</v>
      </c>
      <c r="E14" s="296" t="s">
        <v>1293</v>
      </c>
      <c r="F14" s="881"/>
      <c r="G14" s="750"/>
      <c r="H14" s="336"/>
      <c r="I14" s="705"/>
      <c r="J14" s="296"/>
      <c r="K14" s="296"/>
      <c r="L14" s="296"/>
      <c r="M14" s="296"/>
      <c r="N14" s="296"/>
      <c r="O14" s="296"/>
      <c r="P14" s="296"/>
      <c r="Q14" s="296"/>
    </row>
    <row r="15" spans="1:35" ht="14.25" hidden="1" customHeight="1">
      <c r="A15" s="435"/>
      <c r="B15" s="773">
        <v>51060</v>
      </c>
      <c r="C15" s="674"/>
      <c r="D15" s="555"/>
      <c r="E15" s="296"/>
      <c r="F15" s="881"/>
      <c r="G15" s="750" t="s">
        <v>783</v>
      </c>
      <c r="H15" s="336"/>
      <c r="I15" s="705"/>
      <c r="J15" s="296"/>
      <c r="K15" s="296"/>
      <c r="L15" s="296"/>
      <c r="M15" s="296"/>
      <c r="N15" s="296"/>
      <c r="O15" s="296"/>
      <c r="P15" s="296"/>
      <c r="Q15" s="296"/>
    </row>
    <row r="16" spans="1:35" hidden="1">
      <c r="A16" s="435"/>
      <c r="B16" s="773">
        <v>51110</v>
      </c>
      <c r="C16" s="674"/>
      <c r="D16" s="555" t="s">
        <v>784</v>
      </c>
      <c r="E16" s="333" t="s">
        <v>785</v>
      </c>
      <c r="F16" s="881">
        <v>0</v>
      </c>
      <c r="G16" s="750"/>
      <c r="H16" s="333"/>
      <c r="I16" s="705"/>
      <c r="J16" s="296"/>
      <c r="K16" s="296"/>
      <c r="L16" s="296"/>
      <c r="M16" s="296"/>
      <c r="N16" s="296"/>
      <c r="O16" s="296"/>
      <c r="P16" s="296"/>
      <c r="Q16" s="296"/>
      <c r="AI16" s="333" t="s">
        <v>786</v>
      </c>
    </row>
    <row r="17" spans="1:25" hidden="1">
      <c r="A17" s="435"/>
      <c r="B17" s="675"/>
      <c r="C17" s="674"/>
      <c r="D17" s="676"/>
      <c r="E17" s="669"/>
      <c r="F17" s="880"/>
      <c r="G17" s="750"/>
      <c r="H17" s="333"/>
      <c r="I17" s="705"/>
      <c r="J17" s="296"/>
      <c r="K17" s="296"/>
      <c r="L17" s="296"/>
      <c r="M17" s="296"/>
      <c r="N17" s="296"/>
      <c r="O17" s="296"/>
      <c r="P17" s="296"/>
      <c r="Q17" s="296"/>
    </row>
    <row r="18" spans="1:25" hidden="1">
      <c r="A18" s="435"/>
      <c r="B18" s="773">
        <v>51120</v>
      </c>
      <c r="C18" s="674"/>
      <c r="D18" s="555" t="s">
        <v>787</v>
      </c>
      <c r="E18" s="296" t="s">
        <v>788</v>
      </c>
      <c r="F18" s="881">
        <v>0</v>
      </c>
      <c r="G18" s="750"/>
      <c r="H18" s="336"/>
      <c r="I18" s="704"/>
      <c r="J18" s="704"/>
      <c r="K18" s="705"/>
      <c r="L18" s="296"/>
      <c r="M18" s="296"/>
      <c r="N18" s="296"/>
      <c r="O18" s="296"/>
      <c r="P18" s="296"/>
      <c r="Q18" s="296"/>
    </row>
    <row r="19" spans="1:25" ht="14.25" hidden="1" customHeight="1">
      <c r="A19" s="435"/>
      <c r="B19" s="773">
        <v>51160</v>
      </c>
      <c r="C19" s="674"/>
      <c r="D19" s="555" t="s">
        <v>780</v>
      </c>
      <c r="E19" s="296" t="s">
        <v>789</v>
      </c>
      <c r="F19" s="880">
        <v>0</v>
      </c>
      <c r="G19" s="750"/>
      <c r="H19" s="336"/>
      <c r="I19" s="198"/>
      <c r="J19" s="296"/>
      <c r="K19" s="296"/>
      <c r="L19" s="296"/>
      <c r="M19" s="296"/>
      <c r="N19" s="296"/>
      <c r="O19" s="296"/>
      <c r="P19" s="296"/>
      <c r="Q19" s="296"/>
    </row>
    <row r="20" spans="1:25" ht="14.25" hidden="1" customHeight="1">
      <c r="A20" s="435"/>
      <c r="B20" s="773">
        <v>51161</v>
      </c>
      <c r="C20" s="674"/>
      <c r="D20" s="555" t="s">
        <v>790</v>
      </c>
      <c r="E20" s="296"/>
      <c r="F20" s="880">
        <v>0</v>
      </c>
      <c r="G20" s="750"/>
      <c r="H20" s="336"/>
      <c r="I20" s="198"/>
      <c r="J20" s="783"/>
      <c r="K20" s="296"/>
      <c r="L20" s="296"/>
      <c r="M20" s="296"/>
      <c r="N20" s="296"/>
      <c r="O20" s="296"/>
      <c r="P20" s="296"/>
      <c r="Q20" s="296"/>
    </row>
    <row r="21" spans="1:25" ht="13.35" hidden="1" customHeight="1">
      <c r="A21" s="435"/>
      <c r="B21" s="773">
        <v>51210</v>
      </c>
      <c r="C21" s="674"/>
      <c r="D21" s="555" t="s">
        <v>791</v>
      </c>
      <c r="E21" s="296" t="s">
        <v>792</v>
      </c>
      <c r="F21" s="881">
        <v>0</v>
      </c>
      <c r="G21" s="750"/>
      <c r="H21" s="336"/>
      <c r="I21" s="198"/>
      <c r="J21" s="198"/>
      <c r="K21" s="198"/>
      <c r="L21" s="705"/>
      <c r="M21" s="296"/>
      <c r="N21" s="296"/>
      <c r="O21" s="296"/>
      <c r="P21" s="296"/>
      <c r="Q21" s="296"/>
    </row>
    <row r="22" spans="1:25" ht="13.35" hidden="1" customHeight="1">
      <c r="A22" s="435"/>
      <c r="B22" s="773">
        <v>51050</v>
      </c>
      <c r="C22" s="674"/>
      <c r="D22" s="555"/>
      <c r="E22" s="296" t="s">
        <v>1294</v>
      </c>
      <c r="F22" s="881">
        <v>0</v>
      </c>
      <c r="G22" s="750"/>
      <c r="H22" s="336"/>
      <c r="I22" s="198"/>
      <c r="J22" s="198"/>
      <c r="K22" s="198"/>
      <c r="L22" s="705"/>
      <c r="M22" s="296"/>
      <c r="N22" s="296"/>
      <c r="O22" s="296"/>
      <c r="P22" s="296"/>
      <c r="Q22" s="296"/>
    </row>
    <row r="23" spans="1:25" ht="18" hidden="1" customHeight="1">
      <c r="A23" s="435"/>
      <c r="B23" s="773">
        <v>52010</v>
      </c>
      <c r="C23" s="674"/>
      <c r="D23" s="333"/>
      <c r="E23" s="296" t="s">
        <v>1279</v>
      </c>
      <c r="F23" s="881">
        <v>0</v>
      </c>
      <c r="G23" s="750"/>
      <c r="H23" s="336"/>
      <c r="I23" s="333"/>
      <c r="J23" s="296"/>
      <c r="K23" s="296"/>
      <c r="L23" s="296"/>
      <c r="M23" s="296"/>
      <c r="N23" s="296"/>
      <c r="O23" s="296"/>
      <c r="P23" s="296"/>
      <c r="Q23" s="296"/>
    </row>
    <row r="24" spans="1:25" ht="13.35" customHeight="1">
      <c r="A24" s="435"/>
      <c r="B24" s="773">
        <v>52020</v>
      </c>
      <c r="C24" s="674"/>
      <c r="D24" s="333"/>
      <c r="E24" s="669" t="s">
        <v>793</v>
      </c>
      <c r="F24" s="880">
        <v>1030</v>
      </c>
      <c r="G24" s="750"/>
      <c r="H24" s="336"/>
      <c r="I24" s="333"/>
      <c r="J24" s="296"/>
      <c r="K24" s="296"/>
      <c r="L24" s="296"/>
      <c r="M24" s="296"/>
      <c r="N24" s="296"/>
      <c r="O24" s="296"/>
      <c r="P24" s="296"/>
      <c r="Q24" s="296"/>
    </row>
    <row r="25" spans="1:25" ht="13.35" hidden="1" customHeight="1">
      <c r="A25" s="435"/>
      <c r="B25" s="773">
        <v>51160</v>
      </c>
      <c r="C25" s="674"/>
      <c r="D25" s="333"/>
      <c r="E25" s="296" t="s">
        <v>794</v>
      </c>
      <c r="F25" s="881">
        <v>0</v>
      </c>
      <c r="G25" s="750"/>
      <c r="H25" s="336"/>
      <c r="I25" s="823" t="s">
        <v>795</v>
      </c>
      <c r="J25" s="824" t="s">
        <v>796</v>
      </c>
      <c r="K25" s="824" t="s">
        <v>797</v>
      </c>
      <c r="L25" s="824" t="s">
        <v>798</v>
      </c>
      <c r="M25" s="824" t="s">
        <v>799</v>
      </c>
      <c r="N25" s="824" t="s">
        <v>800</v>
      </c>
      <c r="O25" s="824" t="s">
        <v>801</v>
      </c>
      <c r="P25" s="824" t="s">
        <v>802</v>
      </c>
      <c r="Q25" s="296"/>
    </row>
    <row r="26" spans="1:25">
      <c r="A26" s="435"/>
      <c r="B26" s="784">
        <v>55110</v>
      </c>
      <c r="C26" s="674"/>
      <c r="D26" s="676" t="s">
        <v>803</v>
      </c>
      <c r="E26" s="669" t="s">
        <v>1302</v>
      </c>
      <c r="F26" s="881">
        <f>P26</f>
        <v>1554.6979310344827</v>
      </c>
      <c r="G26" s="669" t="s">
        <v>804</v>
      </c>
      <c r="H26" s="641"/>
      <c r="I26" s="742">
        <f>136.31+263.56+94.24+57.15+765.26+419+554.67+82.77</f>
        <v>2372.96</v>
      </c>
      <c r="J26" s="785">
        <v>45853</v>
      </c>
      <c r="K26" s="785">
        <v>45881</v>
      </c>
      <c r="L26" s="925">
        <v>45900</v>
      </c>
      <c r="M26" s="786">
        <f>+K26-J26+1</f>
        <v>29</v>
      </c>
      <c r="N26" s="786">
        <f>+I26/M26</f>
        <v>81.826206896551724</v>
      </c>
      <c r="O26" s="704">
        <f>+L26-K26</f>
        <v>19</v>
      </c>
      <c r="P26" s="743">
        <f>+N26*O26</f>
        <v>1554.6979310344827</v>
      </c>
      <c r="Q26" s="296"/>
    </row>
    <row r="27" spans="1:25" ht="14.25" customHeight="1">
      <c r="A27" s="787"/>
      <c r="B27" s="675">
        <v>55120</v>
      </c>
      <c r="C27" s="931"/>
      <c r="D27" s="676" t="s">
        <v>805</v>
      </c>
      <c r="E27" s="669" t="s">
        <v>1303</v>
      </c>
      <c r="F27" s="881">
        <v>1393.86</v>
      </c>
      <c r="G27" s="750" t="s">
        <v>806</v>
      </c>
      <c r="H27" s="669"/>
      <c r="I27" s="677"/>
      <c r="J27" s="669"/>
      <c r="K27" s="669"/>
      <c r="L27" s="924"/>
      <c r="M27" s="336"/>
      <c r="N27" s="336"/>
      <c r="O27" s="336"/>
      <c r="P27" s="336"/>
      <c r="Q27" s="336"/>
    </row>
    <row r="28" spans="1:25" ht="14.25" customHeight="1">
      <c r="A28" s="787"/>
      <c r="B28" s="675">
        <v>55140</v>
      </c>
      <c r="C28" s="674"/>
      <c r="D28" s="676" t="s">
        <v>702</v>
      </c>
      <c r="E28" s="669" t="s">
        <v>1304</v>
      </c>
      <c r="F28" s="880">
        <f>P28+Y28</f>
        <v>6940.3858333333346</v>
      </c>
      <c r="G28" s="669" t="s">
        <v>1280</v>
      </c>
      <c r="H28" s="336" t="s">
        <v>807</v>
      </c>
      <c r="I28" s="742">
        <f>5026.89+307.14+2237.3</f>
        <v>7571.3300000000008</v>
      </c>
      <c r="J28" s="785">
        <v>45786</v>
      </c>
      <c r="K28" s="785">
        <v>45845</v>
      </c>
      <c r="L28" s="925">
        <v>45900</v>
      </c>
      <c r="M28" s="786">
        <f>+K28-J28+1</f>
        <v>60</v>
      </c>
      <c r="N28" s="786">
        <f>+I28/M28</f>
        <v>126.18883333333335</v>
      </c>
      <c r="O28" s="704">
        <f>+L28-K28</f>
        <v>55</v>
      </c>
      <c r="P28" s="743">
        <f>+N28*O28</f>
        <v>6940.3858333333346</v>
      </c>
      <c r="Q28" s="336"/>
      <c r="R28" s="742"/>
      <c r="S28" s="785"/>
      <c r="T28" s="785"/>
      <c r="U28" s="785"/>
      <c r="V28" s="786"/>
      <c r="W28" s="786"/>
      <c r="X28" s="704"/>
      <c r="Y28" s="743"/>
    </row>
    <row r="29" spans="1:25" ht="14.25" customHeight="1">
      <c r="A29" s="787"/>
      <c r="B29" s="675">
        <v>55140</v>
      </c>
      <c r="C29" s="674"/>
      <c r="D29" s="676" t="s">
        <v>702</v>
      </c>
      <c r="E29" s="669" t="s">
        <v>1304</v>
      </c>
      <c r="F29" s="880">
        <f>P29</f>
        <v>670.27583333333337</v>
      </c>
      <c r="G29" s="333" t="s">
        <v>1281</v>
      </c>
      <c r="H29" s="336"/>
      <c r="I29" s="742">
        <v>731.21</v>
      </c>
      <c r="J29" s="785">
        <v>45786</v>
      </c>
      <c r="K29" s="785">
        <v>45845</v>
      </c>
      <c r="L29" s="925">
        <v>45900</v>
      </c>
      <c r="M29" s="786">
        <f>+K29-J29+1</f>
        <v>60</v>
      </c>
      <c r="N29" s="786">
        <f>+I29/M29</f>
        <v>12.186833333333334</v>
      </c>
      <c r="O29" s="704">
        <f>+L29-K29</f>
        <v>55</v>
      </c>
      <c r="P29" s="743">
        <f>+N29*O29</f>
        <v>670.27583333333337</v>
      </c>
      <c r="Q29" s="336"/>
      <c r="R29" s="742"/>
      <c r="S29" s="785"/>
      <c r="T29" s="785"/>
      <c r="U29" s="785"/>
      <c r="V29" s="786"/>
      <c r="W29" s="786"/>
      <c r="X29" s="704"/>
      <c r="Y29" s="743"/>
    </row>
    <row r="30" spans="1:25" ht="14.25" customHeight="1">
      <c r="A30" s="787"/>
      <c r="B30" s="675">
        <v>55140</v>
      </c>
      <c r="C30" s="674"/>
      <c r="D30" s="676" t="s">
        <v>702</v>
      </c>
      <c r="E30" s="669" t="s">
        <v>1304</v>
      </c>
      <c r="F30" s="880">
        <f>P30</f>
        <v>400.62000000000006</v>
      </c>
      <c r="G30" s="333" t="s">
        <v>1282</v>
      </c>
      <c r="H30" s="336"/>
      <c r="I30" s="742">
        <v>437.04</v>
      </c>
      <c r="J30" s="785">
        <v>45786</v>
      </c>
      <c r="K30" s="785">
        <v>45845</v>
      </c>
      <c r="L30" s="925">
        <v>45900</v>
      </c>
      <c r="M30" s="786">
        <f>+K30-J30+1</f>
        <v>60</v>
      </c>
      <c r="N30" s="786">
        <f>+I30/M30</f>
        <v>7.2840000000000007</v>
      </c>
      <c r="O30" s="704">
        <f>+L30-K30</f>
        <v>55</v>
      </c>
      <c r="P30" s="743">
        <f>+N30*O30</f>
        <v>400.62000000000006</v>
      </c>
      <c r="Q30" s="336"/>
      <c r="R30" s="742"/>
      <c r="S30" s="785"/>
      <c r="T30" s="785"/>
      <c r="U30" s="785"/>
      <c r="V30" s="786"/>
      <c r="W30" s="786"/>
      <c r="X30" s="704"/>
      <c r="Y30" s="743"/>
    </row>
    <row r="31" spans="1:25" ht="14.25" customHeight="1">
      <c r="A31" s="787"/>
      <c r="B31" s="675">
        <v>55140</v>
      </c>
      <c r="C31" s="674"/>
      <c r="D31" s="676" t="s">
        <v>702</v>
      </c>
      <c r="E31" s="669" t="s">
        <v>1305</v>
      </c>
      <c r="F31" s="880">
        <f>P31</f>
        <v>494.88545454545459</v>
      </c>
      <c r="G31" s="669" t="s">
        <v>808</v>
      </c>
      <c r="H31" s="669" t="s">
        <v>809</v>
      </c>
      <c r="I31" s="742">
        <f>289.8+190.53</f>
        <v>480.33000000000004</v>
      </c>
      <c r="J31" s="785">
        <v>45834</v>
      </c>
      <c r="K31" s="785">
        <v>45866</v>
      </c>
      <c r="L31" s="925">
        <v>45900</v>
      </c>
      <c r="M31" s="786">
        <f>+K31-J31+1</f>
        <v>33</v>
      </c>
      <c r="N31" s="786">
        <f>+I31/M31</f>
        <v>14.555454545454547</v>
      </c>
      <c r="O31" s="704">
        <f>+L31-K31</f>
        <v>34</v>
      </c>
      <c r="P31" s="743">
        <f>+N31*O31</f>
        <v>494.88545454545459</v>
      </c>
      <c r="Q31" s="336"/>
    </row>
    <row r="32" spans="1:25" ht="14.25" customHeight="1">
      <c r="A32" s="435"/>
      <c r="B32" s="675">
        <v>55160</v>
      </c>
      <c r="C32" s="674"/>
      <c r="D32" s="676" t="s">
        <v>810</v>
      </c>
      <c r="E32" s="669" t="s">
        <v>1312</v>
      </c>
      <c r="F32" s="880">
        <f>P32</f>
        <v>135.80633333333336</v>
      </c>
      <c r="G32" s="669" t="s">
        <v>811</v>
      </c>
      <c r="H32" s="669"/>
      <c r="I32" s="742">
        <v>66.790000000000006</v>
      </c>
      <c r="J32" s="785">
        <v>45810</v>
      </c>
      <c r="K32" s="785">
        <v>45839</v>
      </c>
      <c r="L32" s="925">
        <v>45900</v>
      </c>
      <c r="M32" s="786">
        <f>+K32-J32+1</f>
        <v>30</v>
      </c>
      <c r="N32" s="786">
        <f>+I32/M32</f>
        <v>2.2263333333333337</v>
      </c>
      <c r="O32" s="704">
        <f>+L32-K32</f>
        <v>61</v>
      </c>
      <c r="P32" s="743">
        <f>+N32*O32</f>
        <v>135.80633333333336</v>
      </c>
      <c r="Q32" s="296"/>
    </row>
    <row r="33" spans="1:25" ht="14.25" hidden="1" customHeight="1">
      <c r="A33" s="435"/>
      <c r="B33" s="675">
        <v>55190</v>
      </c>
      <c r="C33" s="674"/>
      <c r="D33" s="676" t="s">
        <v>812</v>
      </c>
      <c r="E33" s="669" t="s">
        <v>813</v>
      </c>
      <c r="F33" s="880">
        <v>0</v>
      </c>
      <c r="G33" s="669"/>
      <c r="H33" s="669"/>
      <c r="I33" s="333"/>
      <c r="J33" s="669"/>
      <c r="K33" s="669"/>
      <c r="L33" s="925">
        <v>45900</v>
      </c>
      <c r="M33" s="296"/>
      <c r="N33" s="296"/>
      <c r="O33" s="296"/>
      <c r="P33" s="296"/>
      <c r="Q33" s="296"/>
    </row>
    <row r="34" spans="1:25" ht="14.25" customHeight="1">
      <c r="A34" s="435"/>
      <c r="B34" s="675">
        <v>55180</v>
      </c>
      <c r="C34" s="674"/>
      <c r="D34" s="676" t="s">
        <v>814</v>
      </c>
      <c r="E34" s="669" t="s">
        <v>1306</v>
      </c>
      <c r="F34" s="880">
        <f>P34</f>
        <v>19820.8268852459</v>
      </c>
      <c r="G34" s="750" t="s">
        <v>815</v>
      </c>
      <c r="H34" s="669"/>
      <c r="I34" s="742">
        <f>471.88+3718.28+7959.09+111.23+881.59</f>
        <v>13142.07</v>
      </c>
      <c r="J34" s="785">
        <v>45748</v>
      </c>
      <c r="K34" s="785">
        <v>45808</v>
      </c>
      <c r="L34" s="925">
        <v>45900</v>
      </c>
      <c r="M34" s="786">
        <f>+K34-J34+1</f>
        <v>61</v>
      </c>
      <c r="N34" s="786">
        <f>+I34/M34</f>
        <v>215.44377049180326</v>
      </c>
      <c r="O34" s="704">
        <f>+L34-K34</f>
        <v>92</v>
      </c>
      <c r="P34" s="743">
        <f>+N34*O34</f>
        <v>19820.8268852459</v>
      </c>
      <c r="Q34" s="750"/>
      <c r="R34" s="742"/>
      <c r="S34" s="785"/>
      <c r="T34" s="785"/>
      <c r="U34" s="785"/>
      <c r="V34" s="786"/>
      <c r="W34" s="786"/>
      <c r="X34" s="704"/>
      <c r="Y34" s="743"/>
    </row>
    <row r="35" spans="1:25" ht="14.25" customHeight="1">
      <c r="A35" s="435"/>
      <c r="B35" s="675">
        <v>57120</v>
      </c>
      <c r="C35" s="674"/>
      <c r="D35" s="676" t="s">
        <v>810</v>
      </c>
      <c r="E35" s="669" t="s">
        <v>1307</v>
      </c>
      <c r="F35" s="880">
        <f>P35</f>
        <v>135.80633333333336</v>
      </c>
      <c r="G35" s="669" t="s">
        <v>816</v>
      </c>
      <c r="H35" s="669"/>
      <c r="I35" s="742">
        <v>66.790000000000006</v>
      </c>
      <c r="J35" s="785">
        <v>45810</v>
      </c>
      <c r="K35" s="785">
        <v>45839</v>
      </c>
      <c r="L35" s="925">
        <v>45900</v>
      </c>
      <c r="M35" s="786">
        <f>+K35-J35+1</f>
        <v>30</v>
      </c>
      <c r="N35" s="786">
        <f>+I35/M35</f>
        <v>2.2263333333333337</v>
      </c>
      <c r="O35" s="704">
        <f>+L35-K35</f>
        <v>61</v>
      </c>
      <c r="P35" s="743">
        <f>+N35*O35</f>
        <v>135.80633333333336</v>
      </c>
      <c r="Q35" s="296"/>
    </row>
    <row r="36" spans="1:25" ht="14.25" hidden="1" customHeight="1">
      <c r="A36" s="435"/>
      <c r="B36" s="675">
        <v>57110</v>
      </c>
      <c r="C36" s="674"/>
      <c r="D36" s="676"/>
      <c r="E36" s="296" t="s">
        <v>777</v>
      </c>
      <c r="F36" s="880">
        <v>0</v>
      </c>
      <c r="G36" s="669"/>
      <c r="H36" s="669"/>
      <c r="I36" s="742"/>
      <c r="J36" s="785"/>
      <c r="K36" s="785"/>
      <c r="L36" s="785"/>
      <c r="M36" s="786"/>
      <c r="N36" s="786"/>
      <c r="O36" s="704"/>
      <c r="P36" s="743"/>
      <c r="Q36" s="296"/>
    </row>
    <row r="37" spans="1:25" ht="14.25" hidden="1" customHeight="1">
      <c r="A37" s="435"/>
      <c r="B37" s="675">
        <v>57130</v>
      </c>
      <c r="C37" s="674"/>
      <c r="D37" s="676" t="s">
        <v>817</v>
      </c>
      <c r="E37" s="296" t="s">
        <v>818</v>
      </c>
      <c r="F37" s="880"/>
      <c r="G37" s="750"/>
      <c r="H37" s="669"/>
      <c r="I37" s="669"/>
      <c r="J37" s="669"/>
      <c r="K37" s="669"/>
      <c r="L37" s="669"/>
      <c r="M37" s="296"/>
      <c r="N37" s="296"/>
      <c r="O37" s="296"/>
      <c r="P37" s="296"/>
      <c r="Q37" s="296"/>
    </row>
    <row r="38" spans="1:25" ht="14.25" hidden="1" customHeight="1">
      <c r="A38" s="435"/>
      <c r="B38" s="675">
        <v>57130</v>
      </c>
      <c r="C38" s="674"/>
      <c r="D38" s="676"/>
      <c r="E38" s="296" t="s">
        <v>819</v>
      </c>
      <c r="F38" s="880">
        <v>0</v>
      </c>
      <c r="G38" s="750"/>
      <c r="H38" s="669"/>
      <c r="I38" s="669"/>
      <c r="J38" s="669"/>
      <c r="K38" s="669"/>
      <c r="L38" s="669"/>
      <c r="M38" s="296"/>
      <c r="N38" s="296"/>
      <c r="O38" s="296"/>
      <c r="P38" s="296"/>
      <c r="Q38" s="296"/>
    </row>
    <row r="39" spans="1:25" ht="14.25" customHeight="1">
      <c r="A39" s="435"/>
      <c r="B39" s="675">
        <v>57140</v>
      </c>
      <c r="C39" s="931"/>
      <c r="D39" s="676" t="s">
        <v>805</v>
      </c>
      <c r="E39" s="669" t="s">
        <v>1308</v>
      </c>
      <c r="F39" s="881">
        <v>5575.42</v>
      </c>
      <c r="G39" s="750" t="s">
        <v>806</v>
      </c>
      <c r="H39" s="669"/>
      <c r="I39" s="669"/>
      <c r="J39" s="669"/>
      <c r="K39" s="788"/>
      <c r="L39" s="669"/>
      <c r="M39" s="296"/>
      <c r="N39" s="296"/>
      <c r="O39" s="296"/>
      <c r="P39" s="296"/>
      <c r="Q39" s="296"/>
    </row>
    <row r="40" spans="1:25" s="794" customFormat="1" hidden="1">
      <c r="A40" s="789"/>
      <c r="B40" s="784">
        <v>70210</v>
      </c>
      <c r="C40" s="674"/>
      <c r="D40" s="790" t="s">
        <v>820</v>
      </c>
      <c r="E40" s="791" t="s">
        <v>821</v>
      </c>
      <c r="F40" s="880"/>
      <c r="G40" s="791"/>
      <c r="H40" s="917">
        <v>400229.86</v>
      </c>
      <c r="I40" s="791"/>
      <c r="J40" s="792"/>
      <c r="K40" s="791"/>
      <c r="L40" s="791"/>
      <c r="M40" s="793"/>
      <c r="N40" s="793"/>
      <c r="O40" s="793"/>
      <c r="P40" s="793"/>
      <c r="Q40" s="793"/>
    </row>
    <row r="41" spans="1:25" ht="14.25" hidden="1" customHeight="1">
      <c r="A41" s="435"/>
      <c r="B41" s="675">
        <v>70260</v>
      </c>
      <c r="C41" s="674"/>
      <c r="D41" s="555" t="s">
        <v>822</v>
      </c>
      <c r="E41" s="795" t="s">
        <v>823</v>
      </c>
      <c r="F41" s="881">
        <v>0</v>
      </c>
      <c r="G41" s="669" t="s">
        <v>824</v>
      </c>
      <c r="H41" s="669"/>
      <c r="I41" s="669"/>
      <c r="J41" s="669"/>
      <c r="K41" s="669"/>
      <c r="L41" s="669"/>
      <c r="M41" s="296"/>
      <c r="N41" s="296"/>
      <c r="O41" s="296"/>
      <c r="P41" s="296"/>
      <c r="Q41" s="296"/>
    </row>
    <row r="42" spans="1:25" ht="14.25" hidden="1" customHeight="1">
      <c r="A42" s="435"/>
      <c r="B42" s="675">
        <v>70260</v>
      </c>
      <c r="C42" s="674"/>
      <c r="D42" s="555" t="s">
        <v>825</v>
      </c>
      <c r="E42" s="795" t="s">
        <v>826</v>
      </c>
      <c r="F42" s="881">
        <v>0</v>
      </c>
      <c r="G42" s="669"/>
      <c r="H42" s="669"/>
      <c r="I42" s="669"/>
      <c r="J42" s="669"/>
      <c r="K42" s="669"/>
      <c r="L42" s="669"/>
      <c r="M42" s="296"/>
      <c r="N42" s="296"/>
      <c r="O42" s="296"/>
      <c r="P42" s="296"/>
      <c r="Q42" s="296"/>
    </row>
    <row r="43" spans="1:25" ht="14.25" hidden="1" customHeight="1">
      <c r="A43" s="435"/>
      <c r="B43" s="675">
        <v>70260</v>
      </c>
      <c r="C43" s="674"/>
      <c r="D43" s="555" t="s">
        <v>827</v>
      </c>
      <c r="E43" s="795" t="s">
        <v>828</v>
      </c>
      <c r="F43" s="881">
        <v>0</v>
      </c>
      <c r="G43" s="669"/>
      <c r="H43" s="669"/>
      <c r="I43" s="669"/>
      <c r="J43" s="669"/>
      <c r="K43" s="669"/>
      <c r="L43" s="669"/>
      <c r="M43" s="296"/>
      <c r="N43" s="296"/>
      <c r="O43" s="296"/>
      <c r="P43" s="296"/>
      <c r="Q43" s="296"/>
    </row>
    <row r="44" spans="1:25" ht="14.25" customHeight="1">
      <c r="A44" s="435"/>
      <c r="B44" s="675">
        <v>70411</v>
      </c>
      <c r="C44" s="674"/>
      <c r="D44" s="676" t="s">
        <v>829</v>
      </c>
      <c r="E44" s="669" t="s">
        <v>1309</v>
      </c>
      <c r="F44" s="880">
        <f>286425.43*0.045</f>
        <v>12889.144349999999</v>
      </c>
      <c r="G44" s="740" t="s">
        <v>830</v>
      </c>
      <c r="H44" s="669"/>
      <c r="I44" s="669"/>
      <c r="J44" s="669"/>
      <c r="K44" s="669"/>
      <c r="L44" s="669"/>
      <c r="M44" s="296"/>
      <c r="N44" s="296"/>
      <c r="O44" s="296"/>
      <c r="P44" s="296"/>
      <c r="Q44" s="296"/>
    </row>
    <row r="45" spans="1:25" ht="14.25" customHeight="1">
      <c r="A45" s="435"/>
      <c r="B45" s="5">
        <v>51050</v>
      </c>
      <c r="C45" s="674"/>
      <c r="D45" s="676" t="s">
        <v>1313</v>
      </c>
      <c r="E45" s="669" t="s">
        <v>1314</v>
      </c>
      <c r="F45" s="880">
        <v>297</v>
      </c>
      <c r="G45" s="703" t="s">
        <v>831</v>
      </c>
      <c r="H45" s="669"/>
      <c r="I45" s="669"/>
      <c r="J45" s="669"/>
      <c r="K45" s="669"/>
      <c r="L45" s="669"/>
      <c r="M45" s="296"/>
      <c r="N45" s="296"/>
      <c r="O45" s="296"/>
      <c r="P45" s="296"/>
      <c r="Q45" s="296"/>
    </row>
    <row r="46" spans="1:25" ht="14.25" customHeight="1">
      <c r="A46" s="435"/>
      <c r="B46" s="675"/>
      <c r="C46" s="674"/>
      <c r="D46" s="676"/>
      <c r="E46" s="669"/>
      <c r="F46" s="880"/>
      <c r="G46" s="703"/>
      <c r="H46" s="669"/>
      <c r="I46" s="669"/>
      <c r="J46" s="669"/>
      <c r="K46" s="669"/>
      <c r="L46" s="669"/>
      <c r="M46" s="296"/>
      <c r="N46" s="296"/>
      <c r="O46" s="296"/>
      <c r="P46" s="296"/>
      <c r="Q46" s="296"/>
    </row>
    <row r="47" spans="1:25" ht="14.25" customHeight="1">
      <c r="A47" s="435"/>
      <c r="B47" s="675"/>
      <c r="C47" s="674"/>
      <c r="D47" s="676"/>
      <c r="E47" s="669"/>
      <c r="F47" s="880"/>
      <c r="G47" s="296" t="s">
        <v>1311</v>
      </c>
      <c r="H47" s="669"/>
      <c r="I47" s="751"/>
      <c r="J47" s="703" t="s">
        <v>832</v>
      </c>
      <c r="K47" s="669"/>
      <c r="L47" s="669"/>
      <c r="M47" s="296"/>
      <c r="N47" s="296"/>
      <c r="O47" s="296"/>
      <c r="P47" s="296"/>
      <c r="Q47" s="296"/>
    </row>
    <row r="48" spans="1:25" ht="14.25" customHeight="1">
      <c r="A48" s="437"/>
      <c r="B48" s="556"/>
      <c r="C48" s="674"/>
      <c r="D48" s="557"/>
      <c r="E48" s="558"/>
      <c r="F48" s="881"/>
      <c r="G48" s="296"/>
      <c r="H48" s="296"/>
      <c r="I48" s="296"/>
      <c r="J48" s="296"/>
      <c r="K48" s="296"/>
      <c r="L48" s="296"/>
      <c r="M48" s="296"/>
      <c r="N48" s="296"/>
      <c r="O48" s="296"/>
      <c r="P48" s="404"/>
      <c r="Q48" s="296"/>
    </row>
    <row r="49" spans="1:17" ht="13.5" thickBot="1">
      <c r="A49" s="438"/>
      <c r="B49" s="438"/>
      <c r="C49" s="439"/>
      <c r="D49" s="439"/>
      <c r="E49" s="304"/>
      <c r="F49" s="882">
        <f>SUM(F9:F45)+0.02</f>
        <v>76338.748954159179</v>
      </c>
      <c r="G49" s="881"/>
      <c r="H49" s="296"/>
      <c r="I49" s="705"/>
      <c r="J49" s="296"/>
      <c r="K49" s="296"/>
      <c r="L49" s="296"/>
      <c r="M49" s="296"/>
      <c r="N49" s="296"/>
      <c r="O49" s="296"/>
      <c r="P49" s="296"/>
      <c r="Q49" s="296"/>
    </row>
    <row r="50" spans="1:17">
      <c r="A50" s="296"/>
      <c r="B50" s="296"/>
      <c r="C50" s="296"/>
      <c r="D50" s="296"/>
      <c r="E50" s="296"/>
      <c r="F50" s="883" t="s">
        <v>1181</v>
      </c>
      <c r="I50" s="198"/>
      <c r="K50" s="296"/>
    </row>
    <row r="51" spans="1:17">
      <c r="A51" s="441"/>
      <c r="B51" s="1247"/>
      <c r="C51" s="1248"/>
      <c r="D51" s="1249"/>
      <c r="E51" s="834" t="s">
        <v>1181</v>
      </c>
      <c r="F51" s="848" cm="1">
        <f t="array" ref="F51">-IFERROR(INDEX('TB '!G:G,MATCH('20650 old'!E51,'TB '!A:A,0),0),0)</f>
        <v>9365.57</v>
      </c>
      <c r="I51" s="198"/>
      <c r="K51" s="296"/>
    </row>
    <row r="52" spans="1:17">
      <c r="B52" s="1250"/>
      <c r="C52" s="1219"/>
      <c r="D52" s="1251"/>
      <c r="E52" s="834" t="s">
        <v>712</v>
      </c>
      <c r="F52" s="884">
        <f>F49-F51</f>
        <v>66973.178954159172</v>
      </c>
      <c r="G52" s="412"/>
      <c r="H52" s="200"/>
      <c r="I52" s="776"/>
      <c r="K52" s="296"/>
    </row>
    <row r="53" spans="1:17" ht="13.5" thickBot="1">
      <c r="E53" s="1"/>
      <c r="F53" s="885"/>
      <c r="G53" s="776"/>
      <c r="H53" s="200"/>
      <c r="I53" s="776"/>
      <c r="K53" s="296"/>
    </row>
    <row r="54" spans="1:17" ht="13.5" thickBot="1">
      <c r="B54" s="1229" t="s">
        <v>727</v>
      </c>
      <c r="C54" s="1230"/>
      <c r="D54" s="1230"/>
      <c r="E54" s="1231"/>
      <c r="K54" s="296"/>
    </row>
    <row r="55" spans="1:17">
      <c r="B55" s="618" t="s">
        <v>728</v>
      </c>
      <c r="C55" s="648" t="s">
        <v>729</v>
      </c>
      <c r="D55" s="648" t="s">
        <v>730</v>
      </c>
      <c r="E55" s="649"/>
      <c r="K55" s="296"/>
    </row>
    <row r="56" spans="1:17">
      <c r="B56" s="629"/>
      <c r="C56" s="775">
        <v>5500873513</v>
      </c>
      <c r="D56" s="578">
        <v>55140</v>
      </c>
      <c r="E56" s="630" t="s">
        <v>731</v>
      </c>
    </row>
    <row r="57" spans="1:17">
      <c r="B57" s="621"/>
      <c r="C57" s="333">
        <v>5500874513</v>
      </c>
      <c r="D57" s="5">
        <v>55140</v>
      </c>
      <c r="E57" s="620" t="s">
        <v>731</v>
      </c>
    </row>
    <row r="58" spans="1:17">
      <c r="B58" s="621"/>
      <c r="C58" s="632">
        <v>8546278012</v>
      </c>
      <c r="D58" s="699">
        <v>55140</v>
      </c>
      <c r="E58" s="620" t="s">
        <v>731</v>
      </c>
    </row>
    <row r="59" spans="1:17">
      <c r="B59" s="621"/>
      <c r="C59" s="632">
        <v>8546278910</v>
      </c>
      <c r="D59" s="5">
        <v>55140</v>
      </c>
      <c r="E59" s="620" t="s">
        <v>731</v>
      </c>
      <c r="O59" s="292"/>
      <c r="P59" s="292"/>
    </row>
    <row r="60" spans="1:17">
      <c r="B60" s="621"/>
      <c r="C60" s="632">
        <v>8546274910</v>
      </c>
      <c r="D60" s="699">
        <v>55140</v>
      </c>
      <c r="E60" s="620" t="s">
        <v>731</v>
      </c>
      <c r="P60" s="291"/>
    </row>
    <row r="61" spans="1:17">
      <c r="B61" s="621"/>
      <c r="C61" s="632">
        <v>8546276013</v>
      </c>
      <c r="D61" s="699">
        <v>55140</v>
      </c>
      <c r="E61" s="620" t="s">
        <v>731</v>
      </c>
    </row>
    <row r="62" spans="1:17">
      <c r="B62" s="621"/>
      <c r="C62" s="632">
        <v>8546360013</v>
      </c>
      <c r="D62" s="5">
        <v>55140</v>
      </c>
      <c r="E62" s="620" t="s">
        <v>731</v>
      </c>
    </row>
    <row r="63" spans="1:17">
      <c r="B63" s="621"/>
      <c r="D63" s="5"/>
      <c r="E63" s="620"/>
    </row>
    <row r="64" spans="1:17">
      <c r="B64" s="621"/>
      <c r="D64" s="5"/>
      <c r="E64" s="620"/>
    </row>
    <row r="65" spans="2:7">
      <c r="B65" s="621" t="s">
        <v>732</v>
      </c>
      <c r="C65" t="s">
        <v>733</v>
      </c>
      <c r="D65" s="5">
        <v>55150</v>
      </c>
      <c r="E65" s="620" t="s">
        <v>734</v>
      </c>
      <c r="F65" s="481" t="s">
        <v>735</v>
      </c>
      <c r="G65" t="s">
        <v>736</v>
      </c>
    </row>
    <row r="66" spans="2:7">
      <c r="B66" s="622" t="s">
        <v>737</v>
      </c>
      <c r="C66" t="s">
        <v>738</v>
      </c>
      <c r="D66" s="681">
        <v>55150</v>
      </c>
      <c r="E66" s="620" t="s">
        <v>734</v>
      </c>
      <c r="F66" s="481" t="s">
        <v>739</v>
      </c>
      <c r="G66" t="s">
        <v>736</v>
      </c>
    </row>
    <row r="67" spans="2:7">
      <c r="B67" s="623"/>
      <c r="C67" s="336"/>
      <c r="D67" s="333"/>
      <c r="E67" s="624"/>
    </row>
    <row r="68" spans="2:7">
      <c r="B68" s="621"/>
      <c r="C68" s="632" t="s">
        <v>740</v>
      </c>
      <c r="D68" s="5">
        <v>55180</v>
      </c>
      <c r="E68" s="620" t="s">
        <v>741</v>
      </c>
    </row>
    <row r="69" spans="2:7">
      <c r="B69" s="621"/>
      <c r="C69" s="632" t="s">
        <v>742</v>
      </c>
      <c r="D69" s="5">
        <v>55180</v>
      </c>
      <c r="E69" s="620" t="s">
        <v>741</v>
      </c>
    </row>
    <row r="70" spans="2:7">
      <c r="B70" s="621"/>
      <c r="C70" s="632" t="s">
        <v>743</v>
      </c>
      <c r="D70" s="5">
        <v>55180</v>
      </c>
      <c r="E70" s="620" t="s">
        <v>741</v>
      </c>
    </row>
    <row r="71" spans="2:7">
      <c r="B71" s="619"/>
      <c r="D71" s="5"/>
      <c r="E71" s="620"/>
    </row>
    <row r="72" spans="2:7" ht="15.75" customHeight="1" thickBot="1">
      <c r="B72" s="625"/>
      <c r="C72" s="60"/>
      <c r="D72" s="626"/>
      <c r="E72" s="627"/>
    </row>
    <row r="74" spans="2:7" ht="13.5" thickBot="1"/>
    <row r="75" spans="2:7" ht="13.5" thickBot="1">
      <c r="B75" s="1229" t="s">
        <v>744</v>
      </c>
      <c r="C75" s="1230"/>
      <c r="D75" s="1230"/>
      <c r="E75" s="1231"/>
    </row>
    <row r="76" spans="2:7">
      <c r="B76" s="618" t="s">
        <v>728</v>
      </c>
      <c r="C76" s="648" t="s">
        <v>729</v>
      </c>
      <c r="D76" s="648" t="s">
        <v>730</v>
      </c>
      <c r="E76" s="649"/>
    </row>
    <row r="77" spans="2:7">
      <c r="B77" s="619"/>
      <c r="E77" s="620"/>
    </row>
    <row r="78" spans="2:7">
      <c r="B78" t="s">
        <v>745</v>
      </c>
      <c r="C78" s="628" t="s">
        <v>746</v>
      </c>
      <c r="D78" s="5">
        <v>55110</v>
      </c>
      <c r="E78" s="620"/>
    </row>
    <row r="79" spans="2:7">
      <c r="B79" t="s">
        <v>747</v>
      </c>
      <c r="C79" s="628" t="s">
        <v>748</v>
      </c>
      <c r="D79" s="5">
        <v>55110</v>
      </c>
      <c r="E79" s="620"/>
    </row>
    <row r="80" spans="2:7">
      <c r="B80" t="s">
        <v>749</v>
      </c>
      <c r="C80" s="628" t="s">
        <v>750</v>
      </c>
      <c r="D80" s="5">
        <v>55110</v>
      </c>
      <c r="E80" s="624"/>
    </row>
    <row r="81" spans="2:9">
      <c r="B81" t="s">
        <v>751</v>
      </c>
      <c r="C81" s="628" t="s">
        <v>752</v>
      </c>
      <c r="D81" s="5">
        <v>55110</v>
      </c>
      <c r="E81" s="620"/>
    </row>
    <row r="82" spans="2:9">
      <c r="B82" t="s">
        <v>753</v>
      </c>
      <c r="C82" s="628" t="s">
        <v>754</v>
      </c>
      <c r="D82" s="5">
        <v>55110</v>
      </c>
      <c r="E82" s="620"/>
      <c r="I82" s="292"/>
    </row>
    <row r="83" spans="2:9">
      <c r="B83" s="621" t="s">
        <v>755</v>
      </c>
      <c r="C83" s="628" t="s">
        <v>756</v>
      </c>
      <c r="D83" s="5">
        <v>55110</v>
      </c>
      <c r="E83" s="620"/>
      <c r="I83" s="292"/>
    </row>
    <row r="84" spans="2:9">
      <c r="B84" t="s">
        <v>757</v>
      </c>
      <c r="C84" s="628" t="s">
        <v>758</v>
      </c>
      <c r="D84" s="5">
        <v>55110</v>
      </c>
      <c r="E84" s="620"/>
      <c r="I84" s="292"/>
    </row>
    <row r="85" spans="2:9" ht="13.5" thickBot="1">
      <c r="B85" s="625"/>
      <c r="C85" s="60"/>
      <c r="D85" s="626"/>
      <c r="E85" s="627"/>
      <c r="I85" s="292"/>
    </row>
    <row r="86" spans="2:9">
      <c r="C86" s="1" t="s">
        <v>759</v>
      </c>
      <c r="I86" s="292"/>
    </row>
    <row r="87" spans="2:9">
      <c r="C87" s="333"/>
    </row>
    <row r="88" spans="2:9">
      <c r="B88" t="s">
        <v>747</v>
      </c>
      <c r="C88" s="691" t="s">
        <v>760</v>
      </c>
      <c r="D88" t="s">
        <v>761</v>
      </c>
    </row>
    <row r="89" spans="2:9">
      <c r="B89" t="s">
        <v>745</v>
      </c>
      <c r="C89" s="691" t="s">
        <v>762</v>
      </c>
      <c r="I89" s="291"/>
    </row>
    <row r="90" spans="2:9">
      <c r="B90" t="s">
        <v>753</v>
      </c>
      <c r="C90" s="691" t="s">
        <v>763</v>
      </c>
      <c r="D90" t="s">
        <v>761</v>
      </c>
    </row>
    <row r="91" spans="2:9">
      <c r="B91" t="s">
        <v>757</v>
      </c>
      <c r="C91" s="691" t="s">
        <v>764</v>
      </c>
    </row>
    <row r="92" spans="2:9">
      <c r="B92" t="s">
        <v>751</v>
      </c>
      <c r="C92" s="691" t="s">
        <v>765</v>
      </c>
    </row>
    <row r="93" spans="2:9">
      <c r="B93" t="s">
        <v>749</v>
      </c>
      <c r="C93" s="691" t="s">
        <v>766</v>
      </c>
    </row>
    <row r="94" spans="2:9">
      <c r="B94" t="s">
        <v>755</v>
      </c>
      <c r="C94" s="691" t="s">
        <v>767</v>
      </c>
      <c r="D94" t="s">
        <v>761</v>
      </c>
    </row>
  </sheetData>
  <mergeCells count="6">
    <mergeCell ref="A1:F1"/>
    <mergeCell ref="A2:F2"/>
    <mergeCell ref="A3:F3"/>
    <mergeCell ref="B54:E54"/>
    <mergeCell ref="B75:E75"/>
    <mergeCell ref="B51:D52"/>
  </mergeCells>
  <pageMargins left="0.7" right="0.7" top="0.75" bottom="0.75" header="0.3" footer="0.3"/>
  <pageSetup scale="90" orientation="landscape" r:id="rId1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47">
    <pageSetUpPr autoPageBreaks="0" fitToPage="1"/>
  </sheetPr>
  <dimension ref="A1:K29"/>
  <sheetViews>
    <sheetView zoomScaleNormal="100" zoomScaleSheetLayoutView="102" workbookViewId="0">
      <selection activeCell="A11" sqref="A11:F14"/>
    </sheetView>
  </sheetViews>
  <sheetFormatPr defaultColWidth="9.42578125" defaultRowHeight="12.75"/>
  <cols>
    <col min="1" max="1" width="12.5703125" style="402" customWidth="1"/>
    <col min="2" max="2" width="2.5703125" style="402" customWidth="1"/>
    <col min="3" max="3" width="29.42578125" style="402" customWidth="1"/>
    <col min="4" max="4" width="2.5703125" style="402" customWidth="1"/>
    <col min="5" max="5" width="12.42578125" style="402" bestFit="1" customWidth="1"/>
    <col min="6" max="6" width="21.5703125" style="402" customWidth="1"/>
    <col min="7" max="16384" width="9.42578125" style="402"/>
  </cols>
  <sheetData>
    <row r="1" spans="1:11" s="379" customFormat="1" ht="18">
      <c r="A1" s="1179" t="str">
        <f>'Review Comments'!B9</f>
        <v>COCONUT GROVE RETAIL XIII, LLC</v>
      </c>
      <c r="B1" s="1180"/>
      <c r="C1" s="1180"/>
      <c r="D1" s="1180"/>
      <c r="E1" s="1180"/>
      <c r="F1" s="1181"/>
    </row>
    <row r="2" spans="1:11" s="379" customFormat="1" ht="18">
      <c r="A2" s="1182" t="s">
        <v>835</v>
      </c>
      <c r="B2" s="1183"/>
      <c r="C2" s="1183"/>
      <c r="D2" s="1183"/>
      <c r="E2" s="1183"/>
      <c r="F2" s="1184"/>
    </row>
    <row r="3" spans="1:11" s="379" customFormat="1" ht="18.75" thickBot="1">
      <c r="A3" s="1185" t="str">
        <f>'Review Comments'!B11</f>
        <v>FOR THE MONTH 07/31/2026</v>
      </c>
      <c r="B3" s="1186"/>
      <c r="C3" s="1186"/>
      <c r="D3" s="1186"/>
      <c r="E3" s="1186"/>
      <c r="F3" s="1187"/>
    </row>
    <row r="4" spans="1:11" s="379" customFormat="1"/>
    <row r="5" spans="1:11" s="379" customFormat="1"/>
    <row r="6" spans="1:11" s="379" customFormat="1"/>
    <row r="7" spans="1:11" s="379" customFormat="1" ht="13.5" thickBot="1"/>
    <row r="8" spans="1:11" s="379" customFormat="1">
      <c r="A8" s="380"/>
      <c r="B8" s="381"/>
      <c r="C8" s="381"/>
      <c r="D8" s="381"/>
      <c r="E8" s="381"/>
      <c r="F8" s="382"/>
    </row>
    <row r="9" spans="1:11" s="379" customFormat="1" ht="26.25" thickBot="1">
      <c r="A9" s="383" t="s">
        <v>303</v>
      </c>
      <c r="B9" s="384"/>
      <c r="C9" s="384" t="s">
        <v>10</v>
      </c>
      <c r="D9" s="384"/>
      <c r="E9" s="384" t="s">
        <v>11</v>
      </c>
      <c r="F9" s="385" t="s">
        <v>105</v>
      </c>
      <c r="G9" s="386"/>
      <c r="H9" s="386"/>
      <c r="I9" s="386"/>
      <c r="J9" s="386"/>
      <c r="K9" s="386"/>
    </row>
    <row r="10" spans="1:11" s="379" customFormat="1">
      <c r="A10" s="387"/>
      <c r="F10" s="388"/>
    </row>
    <row r="11" spans="1:11" s="379" customFormat="1">
      <c r="A11" s="428"/>
      <c r="B11" s="390"/>
      <c r="C11" s="588"/>
      <c r="D11" s="390"/>
      <c r="E11" s="392"/>
      <c r="F11" s="393"/>
    </row>
    <row r="12" spans="1:11" s="379" customFormat="1">
      <c r="A12" s="428"/>
      <c r="B12" s="390"/>
      <c r="C12" s="588"/>
      <c r="D12" s="390"/>
      <c r="E12" s="392"/>
      <c r="F12" s="393"/>
    </row>
    <row r="13" spans="1:11" s="379" customFormat="1">
      <c r="A13" s="428"/>
      <c r="B13" s="390"/>
      <c r="C13" s="588"/>
      <c r="D13" s="390"/>
      <c r="E13" s="392"/>
      <c r="F13" s="393"/>
    </row>
    <row r="14" spans="1:11" s="379" customFormat="1">
      <c r="A14" s="394"/>
      <c r="B14" s="390"/>
      <c r="C14" s="390"/>
      <c r="D14" s="390"/>
      <c r="E14" s="395"/>
      <c r="F14" s="393"/>
    </row>
    <row r="15" spans="1:11" s="400" customFormat="1" ht="13.5" thickBot="1">
      <c r="A15" s="396"/>
      <c r="B15" s="397"/>
      <c r="C15" s="397" t="s">
        <v>306</v>
      </c>
      <c r="D15" s="397"/>
      <c r="E15" s="398"/>
      <c r="F15" s="399">
        <f>F12</f>
        <v>0</v>
      </c>
    </row>
    <row r="16" spans="1:11" s="379" customFormat="1">
      <c r="A16" s="390"/>
      <c r="B16" s="390"/>
      <c r="C16" s="390"/>
      <c r="D16" s="390"/>
      <c r="E16" s="395"/>
      <c r="F16" s="390"/>
    </row>
    <row r="17" spans="2:3" s="379" customFormat="1">
      <c r="B17" s="401"/>
      <c r="C17" s="391"/>
    </row>
    <row r="18" spans="2:3" s="379" customFormat="1">
      <c r="C18" s="391"/>
    </row>
    <row r="19" spans="2:3" s="379" customFormat="1"/>
    <row r="20" spans="2:3">
      <c r="B20" s="403"/>
      <c r="C20" s="379"/>
    </row>
    <row r="21" spans="2:3">
      <c r="C21" s="379"/>
    </row>
    <row r="22" spans="2:3">
      <c r="C22" s="379"/>
    </row>
    <row r="23" spans="2:3">
      <c r="C23" s="379"/>
    </row>
    <row r="24" spans="2:3">
      <c r="C24" s="379"/>
    </row>
    <row r="25" spans="2:3">
      <c r="C25" s="379"/>
    </row>
    <row r="26" spans="2:3">
      <c r="C26" s="379"/>
    </row>
    <row r="27" spans="2:3">
      <c r="C27" s="379"/>
    </row>
    <row r="28" spans="2:3">
      <c r="C28" s="379"/>
    </row>
    <row r="29" spans="2:3">
      <c r="C29" s="379"/>
    </row>
  </sheetData>
  <mergeCells count="3">
    <mergeCell ref="A1:F1"/>
    <mergeCell ref="A2:F2"/>
    <mergeCell ref="A3:F3"/>
  </mergeCells>
  <printOptions horizontalCentered="1"/>
  <pageMargins left="0.75" right="0.75" top="1" bottom="1" header="0.5" footer="0.5"/>
  <pageSetup orientation="portrait"/>
  <headerFooter alignWithMargins="0">
    <oddFooter>&amp;R&amp;F
&amp;D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48"/>
  <dimension ref="A1:J26"/>
  <sheetViews>
    <sheetView workbookViewId="0">
      <selection activeCell="A11" sqref="A11:E15"/>
    </sheetView>
  </sheetViews>
  <sheetFormatPr defaultRowHeight="12.75"/>
  <cols>
    <col min="1" max="1" width="12.5703125" customWidth="1"/>
    <col min="2" max="2" width="2.5703125" customWidth="1"/>
    <col min="3" max="3" width="13.5703125" hidden="1" customWidth="1"/>
    <col min="4" max="4" width="45.42578125" customWidth="1"/>
    <col min="5" max="5" width="22" style="292" customWidth="1"/>
  </cols>
  <sheetData>
    <row r="1" spans="1:10" s="296" customFormat="1" ht="18">
      <c r="A1" s="1179" t="str">
        <f>'Review Comments'!B9</f>
        <v>COCONUT GROVE RETAIL XIII, LLC</v>
      </c>
      <c r="B1" s="1180"/>
      <c r="C1" s="1180"/>
      <c r="D1" s="1180"/>
      <c r="E1" s="1181"/>
    </row>
    <row r="2" spans="1:10" s="296" customFormat="1" ht="18">
      <c r="A2" s="1201" t="s">
        <v>836</v>
      </c>
      <c r="B2" s="1202"/>
      <c r="C2" s="1202"/>
      <c r="D2" s="1202"/>
      <c r="E2" s="1203"/>
    </row>
    <row r="3" spans="1:10" s="296" customFormat="1" ht="18.75" thickBot="1">
      <c r="A3" s="1214" t="str">
        <f>'Review Comments'!B11</f>
        <v>FOR THE MONTH 07/31/2026</v>
      </c>
      <c r="B3" s="1215"/>
      <c r="C3" s="1215"/>
      <c r="D3" s="1215"/>
      <c r="E3" s="1216"/>
    </row>
    <row r="4" spans="1:10" s="296" customFormat="1">
      <c r="E4" s="404"/>
    </row>
    <row r="5" spans="1:10" s="296" customFormat="1">
      <c r="E5" s="404"/>
    </row>
    <row r="6" spans="1:10" s="296" customFormat="1">
      <c r="E6" s="404"/>
    </row>
    <row r="7" spans="1:10" s="296" customFormat="1" ht="13.5" thickBot="1">
      <c r="E7" s="404"/>
    </row>
    <row r="8" spans="1:10" s="296" customFormat="1" ht="1.5" customHeight="1">
      <c r="A8" s="318"/>
      <c r="B8" s="319"/>
      <c r="C8" s="319"/>
      <c r="D8" s="319"/>
      <c r="E8" s="405"/>
    </row>
    <row r="9" spans="1:10" s="296" customFormat="1" ht="39.75" customHeight="1" thickBot="1">
      <c r="A9" s="321" t="s">
        <v>714</v>
      </c>
      <c r="B9" s="322"/>
      <c r="C9" s="322" t="s">
        <v>544</v>
      </c>
      <c r="D9" s="322" t="s">
        <v>10</v>
      </c>
      <c r="E9" s="406" t="s">
        <v>837</v>
      </c>
      <c r="F9" s="297"/>
      <c r="G9" s="297"/>
      <c r="H9" s="297"/>
      <c r="I9" s="297"/>
      <c r="J9" s="297"/>
    </row>
    <row r="10" spans="1:10" s="296" customFormat="1">
      <c r="A10" s="301"/>
      <c r="E10" s="407"/>
    </row>
    <row r="11" spans="1:10" s="296" customFormat="1">
      <c r="A11" s="444"/>
      <c r="D11" s="424"/>
      <c r="E11" s="445"/>
    </row>
    <row r="12" spans="1:10" s="296" customFormat="1">
      <c r="A12" s="444"/>
      <c r="D12" s="424"/>
      <c r="E12" s="445"/>
    </row>
    <row r="13" spans="1:10" s="296" customFormat="1">
      <c r="A13" s="444"/>
      <c r="D13" s="424"/>
      <c r="E13" s="445"/>
    </row>
    <row r="14" spans="1:10" s="296" customFormat="1">
      <c r="A14" s="444"/>
      <c r="D14" s="424"/>
      <c r="E14" s="445"/>
    </row>
    <row r="15" spans="1:10" s="296" customFormat="1" ht="15" customHeight="1">
      <c r="A15" s="420"/>
      <c r="B15" s="326"/>
      <c r="C15" s="327"/>
      <c r="D15" s="494"/>
      <c r="E15" s="495"/>
    </row>
    <row r="16" spans="1:10" s="296" customFormat="1" ht="15" customHeight="1">
      <c r="A16" s="310"/>
      <c r="B16" s="311"/>
      <c r="C16" s="312"/>
      <c r="D16" s="317"/>
      <c r="E16" s="408"/>
    </row>
    <row r="17" spans="1:5" s="296" customFormat="1">
      <c r="A17" s="302"/>
      <c r="E17" s="407"/>
    </row>
    <row r="18" spans="1:5" s="305" customFormat="1" ht="13.5" thickBot="1">
      <c r="A18" s="303"/>
      <c r="B18" s="304"/>
      <c r="C18" s="304"/>
      <c r="D18" s="324" t="s">
        <v>306</v>
      </c>
      <c r="E18" s="409">
        <f>SUM(E11:E17)</f>
        <v>0</v>
      </c>
    </row>
    <row r="19" spans="1:5" s="296" customFormat="1">
      <c r="E19" s="404"/>
    </row>
    <row r="20" spans="1:5" s="296" customFormat="1">
      <c r="B20" s="306"/>
      <c r="C20" s="306"/>
      <c r="D20" s="298"/>
      <c r="E20" s="404"/>
    </row>
    <row r="21" spans="1:5" s="296" customFormat="1">
      <c r="D21" s="298"/>
      <c r="E21" s="404"/>
    </row>
    <row r="22" spans="1:5" s="296" customFormat="1">
      <c r="E22" s="404"/>
    </row>
    <row r="23" spans="1:5">
      <c r="D23" s="296"/>
    </row>
    <row r="24" spans="1:5">
      <c r="D24" s="296"/>
    </row>
    <row r="25" spans="1:5">
      <c r="D25" s="296"/>
    </row>
    <row r="26" spans="1:5">
      <c r="D26" s="296"/>
    </row>
  </sheetData>
  <mergeCells count="3">
    <mergeCell ref="A1:E1"/>
    <mergeCell ref="A2:E2"/>
    <mergeCell ref="A3:E3"/>
  </mergeCells>
  <pageMargins left="0.7" right="0.7" top="0.75" bottom="0.75" header="0.3" footer="0.3"/>
  <pageSetup orientation="portrait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49">
    <pageSetUpPr autoPageBreaks="0" fitToPage="1"/>
  </sheetPr>
  <dimension ref="A1:K28"/>
  <sheetViews>
    <sheetView workbookViewId="0">
      <selection activeCell="F18" sqref="F17:F18"/>
    </sheetView>
  </sheetViews>
  <sheetFormatPr defaultColWidth="9.42578125" defaultRowHeight="12.75"/>
  <cols>
    <col min="1" max="1" width="12.5703125" style="402" customWidth="1"/>
    <col min="2" max="2" width="2.5703125" style="402" customWidth="1"/>
    <col min="3" max="3" width="41" style="402" customWidth="1"/>
    <col min="4" max="4" width="2.5703125" style="402" customWidth="1"/>
    <col min="5" max="5" width="16.5703125" style="402" customWidth="1"/>
    <col min="6" max="6" width="30.42578125" style="402" customWidth="1"/>
    <col min="7" max="16384" width="9.42578125" style="402"/>
  </cols>
  <sheetData>
    <row r="1" spans="1:11" s="379" customFormat="1" ht="18">
      <c r="A1" s="1179" t="str">
        <f>'Review Comments'!B9</f>
        <v>COCONUT GROVE RETAIL XIII, LLC</v>
      </c>
      <c r="B1" s="1180"/>
      <c r="C1" s="1180"/>
      <c r="D1" s="1180"/>
      <c r="E1" s="1180"/>
      <c r="F1" s="1181"/>
    </row>
    <row r="2" spans="1:11" s="379" customFormat="1" ht="18">
      <c r="A2" s="1182" t="s">
        <v>838</v>
      </c>
      <c r="B2" s="1183"/>
      <c r="C2" s="1183"/>
      <c r="D2" s="1183"/>
      <c r="E2" s="1183"/>
      <c r="F2" s="1184"/>
    </row>
    <row r="3" spans="1:11" s="379" customFormat="1" ht="18.75" thickBot="1">
      <c r="A3" s="1185" t="str">
        <f>'Review Comments'!B11</f>
        <v>FOR THE MONTH 07/31/2026</v>
      </c>
      <c r="B3" s="1186"/>
      <c r="C3" s="1186"/>
      <c r="D3" s="1186"/>
      <c r="E3" s="1186"/>
      <c r="F3" s="1187"/>
    </row>
    <row r="4" spans="1:11" s="379" customFormat="1"/>
    <row r="5" spans="1:11" s="379" customFormat="1"/>
    <row r="6" spans="1:11" s="379" customFormat="1"/>
    <row r="7" spans="1:11" s="379" customFormat="1" ht="13.5" thickBot="1"/>
    <row r="8" spans="1:11" s="379" customFormat="1">
      <c r="A8" s="380"/>
      <c r="B8" s="381"/>
      <c r="C8" s="381"/>
      <c r="D8" s="381"/>
      <c r="E8" s="381"/>
      <c r="F8" s="382"/>
    </row>
    <row r="9" spans="1:11" s="379" customFormat="1" ht="26.25" thickBot="1">
      <c r="A9" s="383" t="s">
        <v>303</v>
      </c>
      <c r="B9" s="384"/>
      <c r="C9" s="384" t="s">
        <v>10</v>
      </c>
      <c r="D9" s="384"/>
      <c r="E9" s="384" t="s">
        <v>11</v>
      </c>
      <c r="F9" s="385" t="s">
        <v>105</v>
      </c>
      <c r="G9" s="386"/>
      <c r="H9" s="386"/>
      <c r="I9" s="386"/>
      <c r="J9" s="386"/>
      <c r="K9" s="386"/>
    </row>
    <row r="10" spans="1:11" s="379" customFormat="1">
      <c r="A10" s="387"/>
      <c r="F10" s="388"/>
    </row>
    <row r="11" spans="1:11" s="379" customFormat="1">
      <c r="A11" s="428">
        <v>42998</v>
      </c>
      <c r="B11" s="390"/>
      <c r="C11" s="588" t="s">
        <v>839</v>
      </c>
      <c r="D11" s="390"/>
      <c r="E11" s="392">
        <v>20000</v>
      </c>
      <c r="F11" s="393">
        <f>E11</f>
        <v>20000</v>
      </c>
    </row>
    <row r="12" spans="1:11" s="379" customFormat="1">
      <c r="A12" s="428">
        <v>43039</v>
      </c>
      <c r="B12" s="390"/>
      <c r="C12" s="588" t="s">
        <v>840</v>
      </c>
      <c r="D12" s="390"/>
      <c r="E12" s="392">
        <v>-20000</v>
      </c>
      <c r="F12" s="393">
        <f>F11+E12</f>
        <v>0</v>
      </c>
    </row>
    <row r="13" spans="1:11" s="379" customFormat="1">
      <c r="A13" s="394"/>
      <c r="B13" s="390"/>
      <c r="C13" s="390"/>
      <c r="D13" s="390"/>
      <c r="E13" s="395"/>
      <c r="F13" s="393"/>
    </row>
    <row r="14" spans="1:11" s="400" customFormat="1" ht="13.5" thickBot="1">
      <c r="A14" s="396"/>
      <c r="B14" s="397"/>
      <c r="C14" s="397" t="s">
        <v>306</v>
      </c>
      <c r="D14" s="397"/>
      <c r="E14" s="398"/>
      <c r="F14" s="399">
        <f>F12</f>
        <v>0</v>
      </c>
    </row>
    <row r="15" spans="1:11" s="379" customFormat="1">
      <c r="A15" s="390"/>
      <c r="B15" s="390"/>
      <c r="C15" s="390"/>
      <c r="D15" s="390"/>
      <c r="E15" s="395"/>
      <c r="F15" s="390"/>
    </row>
    <row r="16" spans="1:11" s="379" customFormat="1">
      <c r="B16" s="401"/>
      <c r="C16" s="391"/>
    </row>
    <row r="17" spans="2:3" s="379" customFormat="1">
      <c r="C17" s="391"/>
    </row>
    <row r="18" spans="2:3" s="379" customFormat="1"/>
    <row r="19" spans="2:3">
      <c r="B19" s="403"/>
      <c r="C19" s="379"/>
    </row>
    <row r="20" spans="2:3">
      <c r="C20" s="379"/>
    </row>
    <row r="21" spans="2:3">
      <c r="C21" s="379"/>
    </row>
    <row r="22" spans="2:3">
      <c r="C22" s="379"/>
    </row>
    <row r="23" spans="2:3">
      <c r="C23" s="379"/>
    </row>
    <row r="24" spans="2:3">
      <c r="C24" s="379"/>
    </row>
    <row r="25" spans="2:3">
      <c r="C25" s="379"/>
    </row>
    <row r="26" spans="2:3">
      <c r="C26" s="379"/>
    </row>
    <row r="27" spans="2:3">
      <c r="C27" s="379"/>
    </row>
    <row r="28" spans="2:3">
      <c r="C28" s="379"/>
    </row>
  </sheetData>
  <mergeCells count="3">
    <mergeCell ref="A1:F1"/>
    <mergeCell ref="A2:F2"/>
    <mergeCell ref="A3:F3"/>
  </mergeCells>
  <printOptions horizontalCentered="1"/>
  <pageMargins left="0.75" right="0.75" top="1" bottom="1" header="0.5" footer="0.5"/>
  <pageSetup scale="68" orientation="portrait"/>
  <headerFooter alignWithMargins="0">
    <oddFooter>&amp;R&amp;F
&amp;D</odd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heet52"/>
  <dimension ref="A1:K75"/>
  <sheetViews>
    <sheetView topLeftCell="A43" zoomScale="115" zoomScaleNormal="115" workbookViewId="0">
      <selection activeCell="E61" sqref="E61"/>
    </sheetView>
  </sheetViews>
  <sheetFormatPr defaultRowHeight="12.75"/>
  <cols>
    <col min="1" max="1" width="12.5703125" customWidth="1"/>
    <col min="2" max="2" width="2.5703125" customWidth="1"/>
    <col min="3" max="3" width="35.5703125" customWidth="1"/>
    <col min="4" max="4" width="2.5703125" hidden="1" customWidth="1"/>
    <col min="5" max="5" width="20.5703125" customWidth="1"/>
    <col min="6" max="6" width="24.42578125" customWidth="1"/>
    <col min="11" max="11" width="15" bestFit="1" customWidth="1"/>
  </cols>
  <sheetData>
    <row r="1" spans="1:11" s="296" customFormat="1" ht="18">
      <c r="A1" s="1179" t="str">
        <f>'Review Comments'!B9</f>
        <v>COCONUT GROVE RETAIL XIII, LLC</v>
      </c>
      <c r="B1" s="1180"/>
      <c r="C1" s="1180"/>
      <c r="D1" s="1180"/>
      <c r="E1" s="1180"/>
      <c r="F1" s="1181"/>
    </row>
    <row r="2" spans="1:11" s="296" customFormat="1" ht="18">
      <c r="A2" s="1201" t="s">
        <v>841</v>
      </c>
      <c r="B2" s="1202"/>
      <c r="C2" s="1202"/>
      <c r="D2" s="1202"/>
      <c r="E2" s="1202"/>
      <c r="F2" s="1203"/>
    </row>
    <row r="3" spans="1:11" s="296" customFormat="1" ht="18.75" thickBot="1">
      <c r="A3" s="1204" t="str">
        <f>'Review Comments'!B11</f>
        <v>FOR THE MONTH 07/31/2026</v>
      </c>
      <c r="B3" s="1205"/>
      <c r="C3" s="1205"/>
      <c r="D3" s="1205"/>
      <c r="E3" s="1205"/>
      <c r="F3" s="1206"/>
    </row>
    <row r="4" spans="1:11" s="296" customFormat="1"/>
    <row r="5" spans="1:11" s="296" customFormat="1"/>
    <row r="6" spans="1:11" s="296" customFormat="1"/>
    <row r="7" spans="1:11" s="296" customFormat="1" ht="13.5" thickBot="1"/>
    <row r="8" spans="1:11" s="296" customFormat="1">
      <c r="A8" s="414"/>
      <c r="B8" s="415"/>
      <c r="C8" s="415"/>
      <c r="D8" s="415"/>
      <c r="E8" s="415"/>
      <c r="F8" s="416"/>
    </row>
    <row r="9" spans="1:11" s="296" customFormat="1" ht="26.25" thickBot="1">
      <c r="A9" s="417" t="s">
        <v>303</v>
      </c>
      <c r="B9" s="418"/>
      <c r="C9" s="418" t="s">
        <v>10</v>
      </c>
      <c r="D9" s="418"/>
      <c r="E9" s="418" t="s">
        <v>11</v>
      </c>
      <c r="F9" s="419" t="s">
        <v>466</v>
      </c>
      <c r="G9" s="297"/>
      <c r="H9" s="297"/>
      <c r="I9" s="297"/>
      <c r="J9" s="297"/>
      <c r="K9" s="297"/>
    </row>
    <row r="10" spans="1:11" s="296" customFormat="1">
      <c r="A10" s="301"/>
      <c r="F10" s="542"/>
    </row>
    <row r="11" spans="1:11" s="296" customFormat="1">
      <c r="A11" s="444">
        <v>42978</v>
      </c>
      <c r="B11" s="424"/>
      <c r="C11" s="424" t="s">
        <v>770</v>
      </c>
      <c r="D11" s="424"/>
      <c r="E11" s="548">
        <v>15116000</v>
      </c>
      <c r="F11" s="560" t="s">
        <v>772</v>
      </c>
    </row>
    <row r="12" spans="1:11" s="296" customFormat="1">
      <c r="A12" s="444">
        <v>44110</v>
      </c>
      <c r="B12" s="424"/>
      <c r="C12" s="483" t="s">
        <v>362</v>
      </c>
      <c r="D12" s="424"/>
      <c r="E12" s="561">
        <v>-19369.16</v>
      </c>
      <c r="F12" s="560" t="s">
        <v>772</v>
      </c>
    </row>
    <row r="13" spans="1:11" s="296" customFormat="1">
      <c r="A13" s="444">
        <v>44140</v>
      </c>
      <c r="B13" s="424"/>
      <c r="C13" s="483" t="s">
        <v>363</v>
      </c>
      <c r="D13" s="424"/>
      <c r="E13" s="561">
        <v>-17494.23</v>
      </c>
      <c r="F13" s="560" t="s">
        <v>772</v>
      </c>
    </row>
    <row r="14" spans="1:11" s="296" customFormat="1">
      <c r="A14" s="444">
        <v>44169</v>
      </c>
      <c r="B14" s="424"/>
      <c r="C14" s="483" t="s">
        <v>364</v>
      </c>
      <c r="D14" s="424"/>
      <c r="E14" s="561">
        <v>-19512.009999999998</v>
      </c>
      <c r="F14" s="560" t="s">
        <v>772</v>
      </c>
    </row>
    <row r="15" spans="1:11" s="296" customFormat="1">
      <c r="A15" s="444">
        <v>44201</v>
      </c>
      <c r="B15" s="424"/>
      <c r="C15" s="483" t="s">
        <v>365</v>
      </c>
      <c r="D15" s="424"/>
      <c r="E15" s="561">
        <v>-17642.41</v>
      </c>
      <c r="F15" s="560" t="s">
        <v>772</v>
      </c>
    </row>
    <row r="16" spans="1:11" s="296" customFormat="1">
      <c r="A16" s="444">
        <v>44232</v>
      </c>
      <c r="B16" s="424"/>
      <c r="C16" s="483" t="s">
        <v>366</v>
      </c>
      <c r="D16" s="424"/>
      <c r="E16" s="561">
        <v>-17713.060000000001</v>
      </c>
      <c r="F16" s="560" t="s">
        <v>772</v>
      </c>
    </row>
    <row r="17" spans="1:6" s="296" customFormat="1">
      <c r="A17" s="444">
        <v>44260</v>
      </c>
      <c r="B17" s="424"/>
      <c r="C17" s="483" t="s">
        <v>367</v>
      </c>
      <c r="D17" s="424"/>
      <c r="E17" s="561">
        <v>-23605.89</v>
      </c>
      <c r="F17" s="560" t="s">
        <v>772</v>
      </c>
    </row>
    <row r="18" spans="1:6" s="296" customFormat="1">
      <c r="A18" s="444">
        <v>44291</v>
      </c>
      <c r="B18" s="424"/>
      <c r="C18" s="483" t="s">
        <v>368</v>
      </c>
      <c r="D18" s="424"/>
      <c r="E18" s="561">
        <v>-17878.5</v>
      </c>
      <c r="F18" s="560" t="s">
        <v>772</v>
      </c>
    </row>
    <row r="19" spans="1:6" s="296" customFormat="1">
      <c r="A19" s="444">
        <v>44321</v>
      </c>
      <c r="B19" s="424"/>
      <c r="C19" s="483" t="s">
        <v>430</v>
      </c>
      <c r="D19" s="424"/>
      <c r="E19" s="561">
        <v>-19885.37</v>
      </c>
      <c r="F19" s="560" t="s">
        <v>772</v>
      </c>
    </row>
    <row r="20" spans="1:6" s="296" customFormat="1">
      <c r="A20" s="444">
        <v>44351</v>
      </c>
      <c r="B20" s="424"/>
      <c r="C20" s="483" t="s">
        <v>431</v>
      </c>
      <c r="D20" s="424"/>
      <c r="E20" s="561">
        <v>-18029.72</v>
      </c>
      <c r="F20" s="560" t="s">
        <v>772</v>
      </c>
    </row>
    <row r="21" spans="1:6" s="296" customFormat="1">
      <c r="A21" s="444">
        <v>44379</v>
      </c>
      <c r="B21" s="424"/>
      <c r="C21" s="483" t="s">
        <v>842</v>
      </c>
      <c r="D21" s="424"/>
      <c r="E21" s="561">
        <v>-20032.29</v>
      </c>
      <c r="F21" s="560" t="s">
        <v>772</v>
      </c>
    </row>
    <row r="22" spans="1:6" s="296" customFormat="1">
      <c r="A22" s="444">
        <v>44413</v>
      </c>
      <c r="B22" s="424"/>
      <c r="C22" s="483" t="s">
        <v>843</v>
      </c>
      <c r="D22" s="424"/>
      <c r="E22" s="561">
        <v>-18182.12</v>
      </c>
      <c r="F22" s="560" t="s">
        <v>772</v>
      </c>
    </row>
    <row r="23" spans="1:6" s="296" customFormat="1">
      <c r="A23" s="444">
        <v>44444</v>
      </c>
      <c r="B23" s="424"/>
      <c r="C23" s="483" t="s">
        <v>844</v>
      </c>
      <c r="D23" s="424"/>
      <c r="E23" s="561">
        <v>-18254.93</v>
      </c>
      <c r="F23" s="560" t="s">
        <v>772</v>
      </c>
    </row>
    <row r="24" spans="1:6" s="296" customFormat="1">
      <c r="A24" s="444">
        <v>44474</v>
      </c>
      <c r="B24" s="424"/>
      <c r="C24" s="483" t="s">
        <v>845</v>
      </c>
      <c r="D24" s="424"/>
      <c r="E24" s="561">
        <v>-20251.11</v>
      </c>
      <c r="F24" s="560" t="s">
        <v>772</v>
      </c>
    </row>
    <row r="25" spans="1:6" s="296" customFormat="1">
      <c r="A25" s="444">
        <v>44505</v>
      </c>
      <c r="B25" s="424"/>
      <c r="C25" s="483" t="s">
        <v>375</v>
      </c>
      <c r="D25" s="424"/>
      <c r="E25" s="561">
        <v>-18409.11</v>
      </c>
      <c r="F25" s="560" t="s">
        <v>772</v>
      </c>
    </row>
    <row r="26" spans="1:6" s="296" customFormat="1">
      <c r="A26" s="444">
        <v>44532</v>
      </c>
      <c r="B26" s="424"/>
      <c r="C26" s="483" t="s">
        <v>376</v>
      </c>
      <c r="D26" s="424"/>
      <c r="E26" s="561">
        <v>-20400.919999999998</v>
      </c>
      <c r="F26" s="560" t="s">
        <v>772</v>
      </c>
    </row>
    <row r="27" spans="1:6" s="296" customFormat="1">
      <c r="A27" s="444" t="s">
        <v>846</v>
      </c>
      <c r="B27" s="424"/>
      <c r="C27" s="483" t="s">
        <v>377</v>
      </c>
      <c r="D27" s="424"/>
      <c r="E27" s="561">
        <v>-18564.509999999998</v>
      </c>
      <c r="F27" s="560" t="s">
        <v>772</v>
      </c>
    </row>
    <row r="28" spans="1:6" s="296" customFormat="1">
      <c r="A28" s="444">
        <v>44597</v>
      </c>
      <c r="B28" s="424"/>
      <c r="C28" s="483" t="s">
        <v>378</v>
      </c>
      <c r="D28" s="424"/>
      <c r="E28" s="561">
        <v>-18638.849999999999</v>
      </c>
      <c r="F28" s="560" t="s">
        <v>772</v>
      </c>
    </row>
    <row r="29" spans="1:6" s="296" customFormat="1">
      <c r="A29" s="444">
        <v>44625</v>
      </c>
      <c r="B29" s="424"/>
      <c r="C29" s="483" t="s">
        <v>379</v>
      </c>
      <c r="D29" s="424"/>
      <c r="E29" s="561">
        <v>-24445.439999999999</v>
      </c>
      <c r="F29" s="560" t="s">
        <v>772</v>
      </c>
    </row>
    <row r="30" spans="1:6" s="296" customFormat="1">
      <c r="A30" s="444">
        <v>44656</v>
      </c>
      <c r="B30" s="424"/>
      <c r="C30" s="483" t="s">
        <v>380</v>
      </c>
      <c r="D30" s="424"/>
      <c r="E30" s="561">
        <v>-18811.37</v>
      </c>
      <c r="F30" s="560" t="s">
        <v>772</v>
      </c>
    </row>
    <row r="31" spans="1:6" s="296" customFormat="1">
      <c r="A31" s="444">
        <v>44686</v>
      </c>
      <c r="B31" s="424"/>
      <c r="C31" s="483" t="s">
        <v>381</v>
      </c>
      <c r="D31" s="424"/>
      <c r="E31" s="561">
        <v>-20791.75</v>
      </c>
      <c r="F31" s="560" t="s">
        <v>772</v>
      </c>
    </row>
    <row r="32" spans="1:6" s="296" customFormat="1">
      <c r="A32" s="444">
        <v>44716</v>
      </c>
      <c r="B32" s="424"/>
      <c r="C32" s="483" t="s">
        <v>382</v>
      </c>
      <c r="D32" s="424"/>
      <c r="E32" s="561">
        <v>-18969.939999999999</v>
      </c>
      <c r="F32" s="560" t="s">
        <v>772</v>
      </c>
    </row>
    <row r="33" spans="1:6" s="296" customFormat="1">
      <c r="A33" s="444">
        <v>44744</v>
      </c>
      <c r="B33" s="424"/>
      <c r="C33" s="483" t="s">
        <v>383</v>
      </c>
      <c r="D33" s="424"/>
      <c r="E33" s="561">
        <v>-20945.830000000002</v>
      </c>
      <c r="F33" s="560" t="s">
        <v>772</v>
      </c>
    </row>
    <row r="34" spans="1:6" s="296" customFormat="1">
      <c r="A34" s="444">
        <v>44778</v>
      </c>
      <c r="B34" s="424"/>
      <c r="C34" s="483" t="s">
        <v>385</v>
      </c>
      <c r="D34" s="424"/>
      <c r="E34" s="561">
        <v>-19129.77</v>
      </c>
      <c r="F34" s="560" t="s">
        <v>772</v>
      </c>
    </row>
    <row r="35" spans="1:6" s="296" customFormat="1">
      <c r="A35" s="444">
        <v>44806</v>
      </c>
      <c r="B35" s="424"/>
      <c r="C35" s="483" t="s">
        <v>386</v>
      </c>
      <c r="D35" s="424"/>
      <c r="E35" s="561">
        <v>-19206.37</v>
      </c>
      <c r="F35" s="560" t="s">
        <v>772</v>
      </c>
    </row>
    <row r="36" spans="1:6" s="296" customFormat="1">
      <c r="A36" s="444">
        <v>44836</v>
      </c>
      <c r="B36" s="424"/>
      <c r="C36" s="483" t="s">
        <v>387</v>
      </c>
      <c r="D36" s="424"/>
      <c r="E36" s="561">
        <v>-21175.55</v>
      </c>
      <c r="F36" s="560" t="s">
        <v>772</v>
      </c>
    </row>
    <row r="37" spans="1:6" s="296" customFormat="1">
      <c r="A37" s="444">
        <v>44867</v>
      </c>
      <c r="B37" s="424"/>
      <c r="C37" s="483" t="s">
        <v>388</v>
      </c>
      <c r="D37" s="424"/>
      <c r="E37" s="561">
        <v>-19368.07</v>
      </c>
      <c r="F37" s="560" t="s">
        <v>772</v>
      </c>
    </row>
    <row r="38" spans="1:6" s="296" customFormat="1">
      <c r="A38" s="444">
        <v>37595</v>
      </c>
      <c r="B38" s="424"/>
      <c r="C38" s="483" t="s">
        <v>389</v>
      </c>
      <c r="D38" s="424"/>
      <c r="E38" s="561">
        <v>-21332.65</v>
      </c>
      <c r="F38" s="560" t="s">
        <v>772</v>
      </c>
    </row>
    <row r="39" spans="1:6" s="296" customFormat="1">
      <c r="A39" s="444">
        <v>44931</v>
      </c>
      <c r="B39" s="424"/>
      <c r="C39" s="483" t="s">
        <v>390</v>
      </c>
      <c r="D39" s="424"/>
      <c r="E39" s="561">
        <v>-19609.25</v>
      </c>
      <c r="F39" s="560" t="s">
        <v>772</v>
      </c>
    </row>
    <row r="40" spans="1:6" s="296" customFormat="1">
      <c r="A40" s="444">
        <v>44960</v>
      </c>
      <c r="B40" s="424"/>
      <c r="C40" s="483" t="s">
        <v>391</v>
      </c>
      <c r="D40" s="424"/>
      <c r="E40" s="561">
        <v>-19609.25</v>
      </c>
      <c r="F40" s="560" t="s">
        <v>772</v>
      </c>
    </row>
    <row r="41" spans="1:6" s="296" customFormat="1">
      <c r="A41" s="444">
        <v>44988</v>
      </c>
      <c r="B41" s="424"/>
      <c r="C41" s="483" t="s">
        <v>392</v>
      </c>
      <c r="D41" s="424"/>
      <c r="E41" s="561">
        <f>-25325.43</f>
        <v>-25325.43</v>
      </c>
      <c r="F41" s="560" t="s">
        <v>772</v>
      </c>
    </row>
    <row r="42" spans="1:6" s="296" customFormat="1">
      <c r="A42" s="444">
        <v>45016</v>
      </c>
      <c r="B42" s="424"/>
      <c r="C42" s="483" t="s">
        <v>847</v>
      </c>
      <c r="D42" s="424"/>
      <c r="E42" s="561">
        <v>78.209999999999994</v>
      </c>
      <c r="F42" s="560" t="s">
        <v>772</v>
      </c>
    </row>
    <row r="43" spans="1:6" s="296" customFormat="1">
      <c r="A43" s="444">
        <v>45021</v>
      </c>
      <c r="B43" s="424"/>
      <c r="C43" s="483" t="s">
        <v>393</v>
      </c>
      <c r="D43" s="424"/>
      <c r="E43" s="561">
        <v>-19789.169999999998</v>
      </c>
      <c r="F43" s="560" t="s">
        <v>772</v>
      </c>
    </row>
    <row r="44" spans="1:6" s="296" customFormat="1">
      <c r="A44" s="444">
        <v>45051</v>
      </c>
      <c r="B44" s="424"/>
      <c r="C44" s="483" t="s">
        <v>394</v>
      </c>
      <c r="D44" s="424"/>
      <c r="E44" s="561">
        <v>-21741.81</v>
      </c>
      <c r="F44" s="560" t="s">
        <v>772</v>
      </c>
    </row>
    <row r="45" spans="1:6" s="296" customFormat="1">
      <c r="A45" s="444">
        <v>45082</v>
      </c>
      <c r="B45" s="424"/>
      <c r="C45" s="483" t="s">
        <v>395</v>
      </c>
      <c r="D45" s="424"/>
      <c r="E45" s="561">
        <v>-19955.47</v>
      </c>
      <c r="F45" s="560" t="s">
        <v>772</v>
      </c>
    </row>
    <row r="46" spans="1:6" s="296" customFormat="1">
      <c r="A46" s="444">
        <v>45112</v>
      </c>
      <c r="B46" s="424"/>
      <c r="C46" s="483" t="s">
        <v>396</v>
      </c>
      <c r="D46" s="424"/>
      <c r="E46" s="561">
        <v>-21903.38</v>
      </c>
      <c r="F46" s="560" t="s">
        <v>772</v>
      </c>
    </row>
    <row r="47" spans="1:6" s="296" customFormat="1">
      <c r="A47" s="444">
        <v>45142</v>
      </c>
      <c r="B47" s="424"/>
      <c r="C47" s="483" t="s">
        <v>397</v>
      </c>
      <c r="D47" s="424"/>
      <c r="E47" s="561">
        <v>-20123.080000000002</v>
      </c>
      <c r="F47" s="560" t="s">
        <v>772</v>
      </c>
    </row>
    <row r="48" spans="1:6" s="296" customFormat="1">
      <c r="A48" s="444">
        <v>45174</v>
      </c>
      <c r="B48" s="424"/>
      <c r="C48" s="483" t="s">
        <v>398</v>
      </c>
      <c r="D48" s="424"/>
      <c r="E48" s="561">
        <v>-20203.650000000001</v>
      </c>
      <c r="F48" s="560" t="s">
        <v>772</v>
      </c>
    </row>
    <row r="49" spans="1:11" s="296" customFormat="1">
      <c r="A49" s="444">
        <v>45204</v>
      </c>
      <c r="B49" s="424"/>
      <c r="C49" s="483" t="s">
        <v>399</v>
      </c>
      <c r="D49" s="424"/>
      <c r="E49" s="561">
        <v>-22144.52</v>
      </c>
      <c r="F49" s="560" t="s">
        <v>772</v>
      </c>
    </row>
    <row r="50" spans="1:11" s="296" customFormat="1">
      <c r="A50" s="444">
        <v>45233</v>
      </c>
      <c r="B50" s="424"/>
      <c r="C50" s="483" t="s">
        <v>432</v>
      </c>
      <c r="D50" s="424"/>
      <c r="E50" s="561">
        <v>-20373.22</v>
      </c>
      <c r="F50" s="560" t="s">
        <v>772</v>
      </c>
    </row>
    <row r="51" spans="1:11" s="296" customFormat="1">
      <c r="A51" s="727">
        <v>45265</v>
      </c>
      <c r="B51" s="424"/>
      <c r="C51" s="483" t="s">
        <v>433</v>
      </c>
      <c r="D51" s="424"/>
      <c r="E51" s="548">
        <v>-22309.279999999999</v>
      </c>
      <c r="F51" s="560" t="s">
        <v>772</v>
      </c>
    </row>
    <row r="52" spans="1:11" s="296" customFormat="1">
      <c r="A52" s="727">
        <v>45296</v>
      </c>
      <c r="B52" s="424"/>
      <c r="C52" s="483" t="s">
        <v>434</v>
      </c>
      <c r="D52" s="424"/>
      <c r="E52" s="561">
        <v>-20544.13</v>
      </c>
      <c r="F52" s="560" t="s">
        <v>772</v>
      </c>
    </row>
    <row r="53" spans="1:11" s="296" customFormat="1">
      <c r="A53" s="727">
        <v>45327</v>
      </c>
      <c r="B53" s="424"/>
      <c r="C53" s="483" t="s">
        <v>848</v>
      </c>
      <c r="D53" s="424"/>
      <c r="E53" s="548">
        <v>-20626.39</v>
      </c>
      <c r="F53" s="560" t="s">
        <v>772</v>
      </c>
    </row>
    <row r="54" spans="1:11" s="296" customFormat="1">
      <c r="A54" s="727">
        <v>45356</v>
      </c>
      <c r="B54" s="424"/>
      <c r="C54" s="483" t="s">
        <v>435</v>
      </c>
      <c r="D54" s="424"/>
      <c r="E54" s="548">
        <v>-24401.55</v>
      </c>
      <c r="F54" s="560" t="s">
        <v>772</v>
      </c>
    </row>
    <row r="55" spans="1:11" s="296" customFormat="1">
      <c r="A55" s="727">
        <v>45408</v>
      </c>
      <c r="B55" s="424"/>
      <c r="C55" s="483" t="s">
        <v>405</v>
      </c>
      <c r="D55" s="424"/>
      <c r="E55" s="548">
        <v>-20806.689999999999</v>
      </c>
      <c r="F55" s="560" t="s">
        <v>772</v>
      </c>
    </row>
    <row r="56" spans="1:11" s="296" customFormat="1">
      <c r="A56" s="727">
        <v>45415</v>
      </c>
      <c r="B56" s="424"/>
      <c r="C56" s="483" t="s">
        <v>406</v>
      </c>
      <c r="D56" s="424"/>
      <c r="E56" s="548">
        <v>-22730.45</v>
      </c>
      <c r="F56" s="560" t="s">
        <v>772</v>
      </c>
    </row>
    <row r="57" spans="1:11" s="296" customFormat="1">
      <c r="A57" s="727">
        <v>45448</v>
      </c>
      <c r="B57" s="424"/>
      <c r="C57" s="483" t="s">
        <v>407</v>
      </c>
      <c r="D57" s="424"/>
      <c r="E57" s="548">
        <v>-20981.02</v>
      </c>
      <c r="F57" s="560" t="s">
        <v>772</v>
      </c>
    </row>
    <row r="58" spans="1:11" s="296" customFormat="1">
      <c r="A58" s="727">
        <v>45478</v>
      </c>
      <c r="B58" s="424"/>
      <c r="C58" s="483" t="s">
        <v>408</v>
      </c>
      <c r="D58" s="424"/>
      <c r="E58" s="548">
        <v>-22899.83</v>
      </c>
      <c r="F58" s="560" t="s">
        <v>772</v>
      </c>
    </row>
    <row r="59" spans="1:11" s="296" customFormat="1">
      <c r="A59" s="727">
        <v>45509</v>
      </c>
      <c r="B59" s="424"/>
      <c r="C59" s="483" t="s">
        <v>409</v>
      </c>
      <c r="D59" s="424"/>
      <c r="E59" s="548">
        <v>-21156.73</v>
      </c>
      <c r="F59" s="560" t="s">
        <v>772</v>
      </c>
    </row>
    <row r="60" spans="1:11" s="296" customFormat="1">
      <c r="A60" s="727">
        <v>45539</v>
      </c>
      <c r="B60" s="424"/>
      <c r="C60" s="483" t="s">
        <v>849</v>
      </c>
      <c r="D60" s="424"/>
      <c r="E60" s="548">
        <v>-14160802.98</v>
      </c>
      <c r="F60" s="560"/>
    </row>
    <row r="61" spans="1:11" s="305" customFormat="1" ht="13.5" thickBot="1">
      <c r="A61" s="564"/>
      <c r="B61" s="324"/>
      <c r="C61" s="324" t="s">
        <v>468</v>
      </c>
      <c r="D61" s="324"/>
      <c r="E61" s="549">
        <f>SUM(E11:E60)</f>
        <v>0</v>
      </c>
      <c r="F61" s="565"/>
      <c r="K61" s="700"/>
    </row>
    <row r="62" spans="1:11" s="296" customFormat="1">
      <c r="E62" s="299"/>
    </row>
    <row r="63" spans="1:11" s="296" customFormat="1">
      <c r="B63" s="306"/>
      <c r="C63" s="298"/>
      <c r="E63" s="704"/>
    </row>
    <row r="64" spans="1:11" s="296" customFormat="1">
      <c r="C64" s="298"/>
      <c r="E64" s="299"/>
      <c r="K64" s="299"/>
    </row>
    <row r="65" spans="2:3" s="296" customFormat="1"/>
    <row r="66" spans="2:3">
      <c r="B66" s="307"/>
      <c r="C66" s="296"/>
    </row>
    <row r="67" spans="2:3">
      <c r="C67" s="296"/>
    </row>
    <row r="68" spans="2:3">
      <c r="C68" s="296"/>
    </row>
    <row r="69" spans="2:3">
      <c r="C69" s="296"/>
    </row>
    <row r="70" spans="2:3">
      <c r="C70" s="296"/>
    </row>
    <row r="71" spans="2:3">
      <c r="C71" s="296"/>
    </row>
    <row r="72" spans="2:3">
      <c r="C72" s="296"/>
    </row>
    <row r="73" spans="2:3">
      <c r="C73" s="296"/>
    </row>
    <row r="74" spans="2:3">
      <c r="C74" s="296"/>
    </row>
    <row r="75" spans="2:3">
      <c r="C75" s="296"/>
    </row>
  </sheetData>
  <mergeCells count="3">
    <mergeCell ref="A1:F1"/>
    <mergeCell ref="A2:F2"/>
    <mergeCell ref="A3:F3"/>
  </mergeCells>
  <pageMargins left="0.7" right="0.7" top="0.75" bottom="0.75" header="0.3" footer="0.3"/>
  <pageSetup orientation="portrait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heet53"/>
  <dimension ref="A1:K37"/>
  <sheetViews>
    <sheetView workbookViewId="0">
      <selection activeCell="A12" sqref="A12"/>
    </sheetView>
  </sheetViews>
  <sheetFormatPr defaultRowHeight="12.75"/>
  <cols>
    <col min="1" max="1" width="12.5703125" customWidth="1"/>
    <col min="2" max="2" width="2.5703125" customWidth="1"/>
    <col min="3" max="3" width="13.5703125" customWidth="1"/>
    <col min="4" max="4" width="44.42578125" customWidth="1"/>
    <col min="5" max="5" width="2.5703125" customWidth="1"/>
    <col min="6" max="6" width="20.5703125" style="292" customWidth="1"/>
  </cols>
  <sheetData>
    <row r="1" spans="1:11" s="296" customFormat="1" ht="18">
      <c r="A1" s="1179" t="str">
        <f>'Review Comments'!B9</f>
        <v>COCONUT GROVE RETAIL XIII, LLC</v>
      </c>
      <c r="B1" s="1180"/>
      <c r="C1" s="1180"/>
      <c r="D1" s="1180"/>
      <c r="E1" s="1180"/>
      <c r="F1" s="1181"/>
    </row>
    <row r="2" spans="1:11" s="296" customFormat="1" ht="18">
      <c r="A2" s="1201" t="s">
        <v>850</v>
      </c>
      <c r="B2" s="1202"/>
      <c r="C2" s="1202"/>
      <c r="D2" s="1202"/>
      <c r="E2" s="1202"/>
      <c r="F2" s="1203"/>
    </row>
    <row r="3" spans="1:11" s="296" customFormat="1" ht="18.75" thickBot="1">
      <c r="A3" s="1214" t="str">
        <f>'Review Comments'!B11</f>
        <v>FOR THE MONTH 07/31/2026</v>
      </c>
      <c r="B3" s="1215"/>
      <c r="C3" s="1215"/>
      <c r="D3" s="1215"/>
      <c r="E3" s="1215"/>
      <c r="F3" s="1216"/>
    </row>
    <row r="4" spans="1:11" s="296" customFormat="1">
      <c r="F4" s="404"/>
    </row>
    <row r="5" spans="1:11" s="296" customFormat="1">
      <c r="F5" s="404"/>
    </row>
    <row r="6" spans="1:11" s="296" customFormat="1">
      <c r="F6" s="404"/>
    </row>
    <row r="7" spans="1:11" s="296" customFormat="1" ht="13.5" thickBot="1">
      <c r="F7" s="404"/>
    </row>
    <row r="8" spans="1:11" s="296" customFormat="1">
      <c r="A8" s="318"/>
      <c r="B8" s="319"/>
      <c r="C8" s="319"/>
      <c r="D8" s="319"/>
      <c r="E8" s="319"/>
      <c r="F8" s="405"/>
    </row>
    <row r="9" spans="1:11" s="296" customFormat="1" ht="26.25" thickBot="1">
      <c r="A9" s="321" t="s">
        <v>714</v>
      </c>
      <c r="B9" s="322"/>
      <c r="C9" s="322" t="s">
        <v>544</v>
      </c>
      <c r="D9" s="322" t="s">
        <v>10</v>
      </c>
      <c r="E9" s="322"/>
      <c r="F9" s="406" t="s">
        <v>11</v>
      </c>
      <c r="G9" s="297"/>
      <c r="H9" s="297"/>
      <c r="I9" s="297"/>
      <c r="J9" s="297"/>
      <c r="K9" s="297"/>
    </row>
    <row r="10" spans="1:11" s="296" customFormat="1">
      <c r="A10" s="301"/>
      <c r="F10" s="407"/>
    </row>
    <row r="11" spans="1:11" s="296" customFormat="1">
      <c r="A11" s="444"/>
      <c r="C11" s="325"/>
      <c r="D11" s="424"/>
      <c r="F11" s="445"/>
    </row>
    <row r="12" spans="1:11" s="296" customFormat="1">
      <c r="A12" s="444"/>
      <c r="C12" s="325"/>
      <c r="D12" s="424"/>
      <c r="F12" s="445"/>
    </row>
    <row r="13" spans="1:11" s="296" customFormat="1">
      <c r="A13" s="444"/>
      <c r="C13" s="325"/>
      <c r="D13" s="424"/>
      <c r="F13" s="445"/>
    </row>
    <row r="14" spans="1:11" s="296" customFormat="1" ht="15" customHeight="1">
      <c r="A14" s="444"/>
      <c r="D14" s="424"/>
      <c r="F14" s="445"/>
    </row>
    <row r="15" spans="1:11" s="296" customFormat="1" ht="15" customHeight="1">
      <c r="A15" s="444"/>
      <c r="D15" s="483"/>
      <c r="F15" s="445"/>
    </row>
    <row r="16" spans="1:11" s="296" customFormat="1" ht="15" customHeight="1">
      <c r="A16" s="444"/>
      <c r="D16" s="483"/>
      <c r="F16" s="445"/>
    </row>
    <row r="17" spans="1:6" s="296" customFormat="1" ht="15" customHeight="1">
      <c r="A17" s="444"/>
      <c r="D17" s="483"/>
      <c r="F17" s="445"/>
    </row>
    <row r="18" spans="1:6" s="296" customFormat="1" ht="15" customHeight="1">
      <c r="A18" s="444"/>
      <c r="D18" s="483"/>
      <c r="F18" s="445"/>
    </row>
    <row r="19" spans="1:6" s="296" customFormat="1" ht="15" customHeight="1">
      <c r="A19" s="444"/>
      <c r="D19" s="483"/>
      <c r="F19" s="445"/>
    </row>
    <row r="20" spans="1:6" s="296" customFormat="1" ht="15" customHeight="1">
      <c r="A20" s="444"/>
      <c r="D20" s="483"/>
      <c r="F20" s="445"/>
    </row>
    <row r="21" spans="1:6" s="296" customFormat="1" ht="15" customHeight="1">
      <c r="A21" s="444"/>
      <c r="D21" s="483"/>
      <c r="F21" s="445"/>
    </row>
    <row r="22" spans="1:6" s="296" customFormat="1" ht="15" customHeight="1">
      <c r="A22" s="444"/>
      <c r="D22" s="483"/>
      <c r="F22" s="445"/>
    </row>
    <row r="23" spans="1:6" s="296" customFormat="1" ht="15" customHeight="1">
      <c r="A23" s="444"/>
      <c r="D23" s="483"/>
      <c r="F23" s="445"/>
    </row>
    <row r="24" spans="1:6" s="296" customFormat="1" ht="15" customHeight="1">
      <c r="A24" s="444"/>
      <c r="D24" s="483"/>
      <c r="F24" s="445"/>
    </row>
    <row r="25" spans="1:6" s="296" customFormat="1" ht="15" customHeight="1">
      <c r="A25" s="444"/>
      <c r="D25" s="483"/>
      <c r="F25" s="445"/>
    </row>
    <row r="26" spans="1:6" s="296" customFormat="1" ht="15" customHeight="1">
      <c r="A26" s="444"/>
      <c r="D26" s="483"/>
      <c r="F26" s="445"/>
    </row>
    <row r="27" spans="1:6" s="296" customFormat="1">
      <c r="A27" s="301"/>
      <c r="C27" s="309"/>
      <c r="D27" s="298"/>
      <c r="F27" s="407"/>
    </row>
    <row r="28" spans="1:6" s="305" customFormat="1" ht="13.5" thickBot="1">
      <c r="A28" s="303"/>
      <c r="B28" s="304"/>
      <c r="C28" s="304"/>
      <c r="D28" s="324" t="s">
        <v>306</v>
      </c>
      <c r="E28" s="304"/>
      <c r="F28" s="409">
        <f>SUM(F11:F27)</f>
        <v>0</v>
      </c>
    </row>
    <row r="29" spans="1:6" s="296" customFormat="1">
      <c r="F29" s="404"/>
    </row>
    <row r="30" spans="1:6" s="296" customFormat="1">
      <c r="B30" s="306"/>
      <c r="C30" s="306"/>
      <c r="D30" s="298"/>
      <c r="F30" s="404"/>
    </row>
    <row r="31" spans="1:6" s="296" customFormat="1">
      <c r="D31" s="298"/>
      <c r="F31" s="404"/>
    </row>
    <row r="32" spans="1:6" s="296" customFormat="1">
      <c r="F32" s="404"/>
    </row>
    <row r="33" spans="2:4">
      <c r="B33" s="307"/>
      <c r="C33" s="307"/>
      <c r="D33" s="296"/>
    </row>
    <row r="34" spans="2:4">
      <c r="D34" s="296"/>
    </row>
    <row r="35" spans="2:4">
      <c r="D35" s="296"/>
    </row>
    <row r="36" spans="2:4">
      <c r="D36" s="296"/>
    </row>
    <row r="37" spans="2:4">
      <c r="D37" s="296"/>
    </row>
  </sheetData>
  <mergeCells count="3">
    <mergeCell ref="A1:F1"/>
    <mergeCell ref="A2:F2"/>
    <mergeCell ref="A3:F3"/>
  </mergeCells>
  <pageMargins left="0.7" right="0.7" top="0.75" bottom="0.75" header="0.3" footer="0.3"/>
  <pageSetup orientation="portrait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6E899-5BB9-4CA4-A7F7-323E78B4DBAD}">
  <sheetPr codeName="Sheet75"/>
  <dimension ref="A1:K27"/>
  <sheetViews>
    <sheetView workbookViewId="0">
      <pane ySplit="9" topLeftCell="A10" activePane="bottomLeft" state="frozen"/>
      <selection pane="bottomLeft" sqref="A1:F1"/>
    </sheetView>
  </sheetViews>
  <sheetFormatPr defaultRowHeight="12.75"/>
  <cols>
    <col min="1" max="1" width="12.5703125" customWidth="1"/>
    <col min="2" max="2" width="2.5703125" customWidth="1"/>
    <col min="3" max="3" width="35.5703125" customWidth="1"/>
    <col min="4" max="4" width="2.5703125" hidden="1" customWidth="1"/>
    <col min="5" max="5" width="20.5703125" style="377" customWidth="1"/>
    <col min="6" max="6" width="24.42578125" customWidth="1"/>
    <col min="11" max="11" width="15" bestFit="1" customWidth="1"/>
  </cols>
  <sheetData>
    <row r="1" spans="1:11" s="296" customFormat="1" ht="18">
      <c r="A1" s="1179" t="str">
        <f>'Review Comments'!B9</f>
        <v>COCONUT GROVE RETAIL XIII, LLC</v>
      </c>
      <c r="B1" s="1180"/>
      <c r="C1" s="1180"/>
      <c r="D1" s="1180"/>
      <c r="E1" s="1180"/>
      <c r="F1" s="1181"/>
    </row>
    <row r="2" spans="1:11" s="296" customFormat="1" ht="18">
      <c r="A2" s="1201" t="s">
        <v>768</v>
      </c>
      <c r="B2" s="1202"/>
      <c r="C2" s="1202"/>
      <c r="D2" s="1202"/>
      <c r="E2" s="1202"/>
      <c r="F2" s="1203"/>
    </row>
    <row r="3" spans="1:11" s="296" customFormat="1" ht="18.75" thickBot="1">
      <c r="A3" s="1204" t="str">
        <f>'Review Comments'!B11</f>
        <v>FOR THE MONTH 07/31/2026</v>
      </c>
      <c r="B3" s="1205"/>
      <c r="C3" s="1205"/>
      <c r="D3" s="1205"/>
      <c r="E3" s="1205"/>
      <c r="F3" s="1206"/>
    </row>
    <row r="4" spans="1:11" s="296" customFormat="1">
      <c r="E4" s="299"/>
    </row>
    <row r="5" spans="1:11" s="296" customFormat="1">
      <c r="E5" s="299"/>
    </row>
    <row r="6" spans="1:11" s="296" customFormat="1">
      <c r="E6" s="299"/>
    </row>
    <row r="7" spans="1:11" s="296" customFormat="1" ht="13.5" thickBot="1">
      <c r="E7" s="299"/>
      <c r="F7" s="819" t="s">
        <v>769</v>
      </c>
    </row>
    <row r="8" spans="1:11" s="296" customFormat="1">
      <c r="A8" s="414"/>
      <c r="B8" s="415"/>
      <c r="C8" s="415"/>
      <c r="D8" s="415"/>
      <c r="E8" s="871"/>
      <c r="F8" s="416"/>
    </row>
    <row r="9" spans="1:11" s="296" customFormat="1" ht="26.25" thickBot="1">
      <c r="A9" s="417" t="s">
        <v>303</v>
      </c>
      <c r="B9" s="418"/>
      <c r="C9" s="418" t="s">
        <v>10</v>
      </c>
      <c r="D9" s="418"/>
      <c r="E9" s="872" t="s">
        <v>11</v>
      </c>
      <c r="F9" s="419" t="s">
        <v>466</v>
      </c>
      <c r="G9" s="297"/>
      <c r="H9" s="297"/>
      <c r="I9" s="297"/>
      <c r="J9" s="297"/>
      <c r="K9" s="297"/>
    </row>
    <row r="10" spans="1:11" s="296" customFormat="1">
      <c r="A10" s="301"/>
      <c r="C10" s="424" t="s">
        <v>770</v>
      </c>
      <c r="E10" s="299"/>
      <c r="F10" s="542"/>
    </row>
    <row r="11" spans="1:11" s="296" customFormat="1">
      <c r="A11" s="444">
        <v>45539</v>
      </c>
      <c r="B11" s="424"/>
      <c r="C11" s="424" t="s">
        <v>771</v>
      </c>
      <c r="D11" s="424"/>
      <c r="E11" s="548">
        <v>-28000000</v>
      </c>
      <c r="F11" s="560"/>
    </row>
    <row r="12" spans="1:11" s="296" customFormat="1">
      <c r="A12" s="444"/>
      <c r="B12" s="424"/>
      <c r="C12" s="424"/>
      <c r="D12" s="424"/>
      <c r="E12" s="548"/>
      <c r="F12" s="560"/>
    </row>
    <row r="13" spans="1:11" s="305" customFormat="1" ht="13.5" thickBot="1">
      <c r="A13" s="564"/>
      <c r="B13" s="324"/>
      <c r="C13" s="324" t="s">
        <v>468</v>
      </c>
      <c r="D13" s="324"/>
      <c r="E13" s="549">
        <f>SUM(E11:E11)</f>
        <v>-28000000</v>
      </c>
      <c r="F13" s="565"/>
      <c r="K13" s="700"/>
    </row>
    <row r="14" spans="1:11" s="296" customFormat="1">
      <c r="E14" s="299"/>
    </row>
    <row r="15" spans="1:11" s="296" customFormat="1">
      <c r="A15" s="1247"/>
      <c r="B15" s="1249"/>
      <c r="C15" s="834" t="s">
        <v>769</v>
      </c>
      <c r="D15" s="835"/>
      <c r="E15" s="841" cm="1">
        <f t="array" ref="E15">IFERROR(INDEX('TB '!$G:$G,MATCH(C15,'TB '!$A:$A,0),0),0)</f>
        <v>-28000000</v>
      </c>
    </row>
    <row r="16" spans="1:11" s="296" customFormat="1">
      <c r="A16" s="1250"/>
      <c r="B16" s="1251"/>
      <c r="C16" s="834" t="s">
        <v>712</v>
      </c>
      <c r="D16" s="835"/>
      <c r="E16" s="848">
        <f>E13-E15</f>
        <v>0</v>
      </c>
      <c r="K16" s="299"/>
    </row>
    <row r="17" spans="2:5" s="296" customFormat="1">
      <c r="E17" s="299"/>
    </row>
    <row r="18" spans="2:5">
      <c r="B18" s="307"/>
      <c r="C18" s="296"/>
    </row>
    <row r="19" spans="2:5">
      <c r="C19" s="296"/>
    </row>
    <row r="20" spans="2:5">
      <c r="C20" s="296"/>
    </row>
    <row r="21" spans="2:5">
      <c r="C21" s="296"/>
    </row>
    <row r="22" spans="2:5">
      <c r="C22" s="296"/>
    </row>
    <row r="23" spans="2:5">
      <c r="C23" s="296"/>
    </row>
    <row r="24" spans="2:5">
      <c r="C24" s="296"/>
    </row>
    <row r="25" spans="2:5">
      <c r="C25" s="296"/>
    </row>
    <row r="26" spans="2:5">
      <c r="C26" s="296"/>
    </row>
    <row r="27" spans="2:5">
      <c r="C27" s="296"/>
    </row>
  </sheetData>
  <mergeCells count="4">
    <mergeCell ref="A1:F1"/>
    <mergeCell ref="A2:F2"/>
    <mergeCell ref="A3:F3"/>
    <mergeCell ref="A15:B16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Sheet54"/>
  <dimension ref="A1:K25"/>
  <sheetViews>
    <sheetView workbookViewId="0">
      <pane ySplit="6" topLeftCell="A7" activePane="bottomLeft" state="frozen"/>
      <selection pane="bottomLeft" sqref="A1:F1"/>
    </sheetView>
  </sheetViews>
  <sheetFormatPr defaultRowHeight="12.75"/>
  <cols>
    <col min="1" max="1" width="12.5703125" customWidth="1"/>
    <col min="2" max="2" width="2.5703125" customWidth="1"/>
    <col min="3" max="3" width="40.42578125" bestFit="1" customWidth="1"/>
    <col min="4" max="4" width="2.5703125" hidden="1" customWidth="1"/>
    <col min="5" max="5" width="20.5703125" style="377" customWidth="1"/>
    <col min="6" max="6" width="24.42578125" customWidth="1"/>
  </cols>
  <sheetData>
    <row r="1" spans="1:11" s="296" customFormat="1" ht="18">
      <c r="A1" s="1179" t="str">
        <f>'Review Comments'!B9</f>
        <v>COCONUT GROVE RETAIL XIII, LLC</v>
      </c>
      <c r="B1" s="1180"/>
      <c r="C1" s="1180"/>
      <c r="D1" s="1180"/>
      <c r="E1" s="1180"/>
      <c r="F1" s="1181"/>
    </row>
    <row r="2" spans="1:11" s="296" customFormat="1" ht="18">
      <c r="A2" s="1201" t="s">
        <v>833</v>
      </c>
      <c r="B2" s="1202"/>
      <c r="C2" s="1202"/>
      <c r="D2" s="1202"/>
      <c r="E2" s="1202"/>
      <c r="F2" s="1203"/>
    </row>
    <row r="3" spans="1:11" s="296" customFormat="1" ht="18.75" thickBot="1">
      <c r="A3" s="1204" t="str">
        <f>'Review Comments'!B11</f>
        <v>FOR THE MONTH 07/31/2026</v>
      </c>
      <c r="B3" s="1205"/>
      <c r="C3" s="1205"/>
      <c r="D3" s="1205"/>
      <c r="E3" s="1205"/>
      <c r="F3" s="1206"/>
    </row>
    <row r="4" spans="1:11" s="296" customFormat="1" ht="13.5" thickBot="1">
      <c r="E4" s="299"/>
    </row>
    <row r="5" spans="1:11" s="296" customFormat="1">
      <c r="A5" s="414"/>
      <c r="B5" s="415"/>
      <c r="C5" s="415"/>
      <c r="D5" s="415"/>
      <c r="E5" s="871"/>
      <c r="F5" s="416"/>
    </row>
    <row r="6" spans="1:11" s="296" customFormat="1" ht="26.25" thickBot="1">
      <c r="A6" s="417" t="s">
        <v>303</v>
      </c>
      <c r="B6" s="418"/>
      <c r="C6" s="418" t="s">
        <v>10</v>
      </c>
      <c r="D6" s="418"/>
      <c r="E6" s="872" t="s">
        <v>11</v>
      </c>
      <c r="F6" s="419" t="s">
        <v>466</v>
      </c>
      <c r="G6" s="297"/>
      <c r="H6" s="297"/>
      <c r="I6" s="297"/>
      <c r="J6" s="297"/>
      <c r="K6" s="297"/>
    </row>
    <row r="7" spans="1:11" s="296" customFormat="1">
      <c r="A7" s="444"/>
      <c r="B7" s="424"/>
      <c r="C7" s="66"/>
      <c r="D7" s="424"/>
      <c r="E7" s="548"/>
      <c r="F7" s="563"/>
    </row>
    <row r="8" spans="1:11" s="296" customFormat="1">
      <c r="A8" s="444">
        <v>45685</v>
      </c>
      <c r="B8" s="424"/>
      <c r="C8" s="66" t="s">
        <v>770</v>
      </c>
      <c r="D8" s="424"/>
      <c r="E8" s="548">
        <v>-66144.740000000005</v>
      </c>
      <c r="F8" s="563"/>
    </row>
    <row r="9" spans="1:11" s="296" customFormat="1">
      <c r="A9" s="444"/>
      <c r="B9" s="424"/>
      <c r="C9" s="66"/>
      <c r="D9" s="424"/>
      <c r="E9" s="548"/>
      <c r="F9" s="563"/>
    </row>
    <row r="10" spans="1:11" s="296" customFormat="1">
      <c r="A10" s="690"/>
      <c r="B10" s="424"/>
      <c r="C10" s="424"/>
      <c r="D10" s="424"/>
      <c r="E10" s="548"/>
      <c r="F10" s="563"/>
    </row>
    <row r="11" spans="1:11" s="305" customFormat="1" ht="13.5" thickBot="1">
      <c r="A11" s="564"/>
      <c r="B11" s="324"/>
      <c r="C11" s="324" t="s">
        <v>468</v>
      </c>
      <c r="D11" s="324"/>
      <c r="E11" s="549">
        <f>SUM(E7:E10)</f>
        <v>-66144.740000000005</v>
      </c>
      <c r="F11" s="565"/>
    </row>
    <row r="12" spans="1:11" s="296" customFormat="1">
      <c r="E12" s="299"/>
    </row>
    <row r="13" spans="1:11" s="296" customFormat="1">
      <c r="A13" s="1247"/>
      <c r="B13" s="1249"/>
      <c r="C13" s="834" t="s">
        <v>834</v>
      </c>
      <c r="D13" s="835"/>
      <c r="E13" s="848" cm="1">
        <f t="array" ref="E13">IFERROR(INDEX('TB '!$G:$G,MATCH(C13,'TB '!$A:$A,0),0),0)</f>
        <v>-66144.740000000005</v>
      </c>
    </row>
    <row r="14" spans="1:11" s="296" customFormat="1">
      <c r="A14" s="1250"/>
      <c r="B14" s="1251"/>
      <c r="C14" s="834" t="s">
        <v>712</v>
      </c>
      <c r="D14" s="835"/>
      <c r="E14" s="884">
        <f>E11-E13</f>
        <v>0</v>
      </c>
    </row>
    <row r="15" spans="1:11" s="296" customFormat="1">
      <c r="E15" s="299"/>
    </row>
    <row r="16" spans="1:11">
      <c r="B16" s="307"/>
      <c r="C16" s="296"/>
    </row>
    <row r="17" spans="3:3">
      <c r="C17" s="296"/>
    </row>
    <row r="18" spans="3:3">
      <c r="C18" s="296"/>
    </row>
    <row r="19" spans="3:3">
      <c r="C19" s="296"/>
    </row>
    <row r="20" spans="3:3">
      <c r="C20" s="296"/>
    </row>
    <row r="21" spans="3:3">
      <c r="C21" s="296"/>
    </row>
    <row r="22" spans="3:3">
      <c r="C22" s="296"/>
    </row>
    <row r="23" spans="3:3">
      <c r="C23" s="296"/>
    </row>
    <row r="24" spans="3:3">
      <c r="C24" s="296"/>
    </row>
    <row r="25" spans="3:3">
      <c r="C25" s="296"/>
    </row>
  </sheetData>
  <mergeCells count="4">
    <mergeCell ref="A1:F1"/>
    <mergeCell ref="A2:F2"/>
    <mergeCell ref="A3:F3"/>
    <mergeCell ref="A13:B14"/>
  </mergeCells>
  <pageMargins left="0.7" right="0.7" top="0.75" bottom="0.75" header="0.3" footer="0.3"/>
  <pageSetup orientation="portrait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heet51">
    <pageSetUpPr fitToPage="1"/>
  </sheetPr>
  <dimension ref="A1:M87"/>
  <sheetViews>
    <sheetView topLeftCell="B1" zoomScale="85" zoomScaleNormal="85" workbookViewId="0">
      <pane ySplit="7" topLeftCell="A8" activePane="bottomLeft" state="frozen"/>
      <selection activeCell="C1" sqref="C1"/>
      <selection pane="bottomLeft" activeCell="G9" sqref="G9"/>
    </sheetView>
  </sheetViews>
  <sheetFormatPr defaultRowHeight="12.75"/>
  <cols>
    <col min="1" max="1" width="12.5703125" hidden="1" customWidth="1"/>
    <col min="2" max="2" width="18.42578125" customWidth="1"/>
    <col min="3" max="3" width="15.5703125" customWidth="1"/>
    <col min="4" max="4" width="31" customWidth="1"/>
    <col min="5" max="5" width="48.42578125" bestFit="1" customWidth="1"/>
    <col min="6" max="6" width="2.5703125" customWidth="1"/>
    <col min="7" max="7" width="18.42578125" style="377" customWidth="1"/>
    <col min="8" max="8" width="12.42578125" customWidth="1"/>
    <col min="9" max="9" width="37.5703125" bestFit="1" customWidth="1"/>
    <col min="10" max="10" width="10.5703125" customWidth="1"/>
    <col min="11" max="11" width="32.42578125" customWidth="1"/>
    <col min="12" max="12" width="10.42578125" customWidth="1"/>
    <col min="13" max="13" width="10.5703125" customWidth="1"/>
  </cols>
  <sheetData>
    <row r="1" spans="1:13" s="296" customFormat="1" ht="18">
      <c r="A1" s="1222" t="str">
        <f>'Review Comments'!B9</f>
        <v>COCONUT GROVE RETAIL XIII, LLC</v>
      </c>
      <c r="B1" s="1223"/>
      <c r="C1" s="1223"/>
      <c r="D1" s="1223"/>
      <c r="E1" s="1223"/>
      <c r="F1" s="1223"/>
      <c r="G1" s="1224"/>
    </row>
    <row r="2" spans="1:13" s="296" customFormat="1" ht="18">
      <c r="A2" s="1225" t="s">
        <v>851</v>
      </c>
      <c r="B2" s="1202"/>
      <c r="C2" s="1202"/>
      <c r="D2" s="1202"/>
      <c r="E2" s="1202"/>
      <c r="F2" s="1202"/>
      <c r="G2" s="1203"/>
    </row>
    <row r="3" spans="1:13" s="296" customFormat="1" ht="18.75" thickBot="1">
      <c r="A3" s="1226" t="str">
        <f>'Review Comments'!B11</f>
        <v>FOR THE MONTH 07/31/2026</v>
      </c>
      <c r="B3" s="1227"/>
      <c r="C3" s="1227"/>
      <c r="D3" s="1227"/>
      <c r="E3" s="1227"/>
      <c r="F3" s="1227"/>
      <c r="G3" s="1228"/>
      <c r="H3" s="1120" t="s">
        <v>1540</v>
      </c>
    </row>
    <row r="4" spans="1:13" s="296" customFormat="1">
      <c r="G4" s="299"/>
    </row>
    <row r="5" spans="1:13" s="296" customFormat="1" ht="13.5" thickBot="1">
      <c r="G5" s="886" t="s">
        <v>852</v>
      </c>
    </row>
    <row r="6" spans="1:13" s="296" customFormat="1">
      <c r="A6" s="431"/>
      <c r="B6" s="431"/>
      <c r="C6" s="432"/>
      <c r="D6" s="432"/>
      <c r="E6" s="432"/>
      <c r="F6" s="432"/>
      <c r="G6" s="887"/>
    </row>
    <row r="7" spans="1:13" s="305" customFormat="1" ht="26.25" thickBot="1">
      <c r="A7" s="417" t="s">
        <v>303</v>
      </c>
      <c r="B7" s="417" t="s">
        <v>544</v>
      </c>
      <c r="C7" s="418" t="s">
        <v>119</v>
      </c>
      <c r="D7" s="418" t="s">
        <v>471</v>
      </c>
      <c r="E7" s="418" t="s">
        <v>10</v>
      </c>
      <c r="F7" s="418"/>
      <c r="G7" s="866" t="s">
        <v>11</v>
      </c>
      <c r="H7" s="1075"/>
      <c r="I7" s="434"/>
      <c r="J7" s="434"/>
      <c r="K7" s="434"/>
      <c r="L7" s="434"/>
      <c r="M7" s="434"/>
    </row>
    <row r="8" spans="1:13" s="305" customFormat="1">
      <c r="A8" s="476"/>
      <c r="B8" s="556"/>
      <c r="C8" s="674"/>
      <c r="D8" s="557"/>
      <c r="E8" s="558"/>
      <c r="F8" s="559"/>
      <c r="G8" s="888"/>
      <c r="H8" s="434"/>
      <c r="I8" s="434"/>
      <c r="J8" s="434"/>
      <c r="K8" s="434"/>
      <c r="L8" s="434"/>
      <c r="M8" s="434"/>
    </row>
    <row r="9" spans="1:13" s="296" customFormat="1" ht="14.25" customHeight="1">
      <c r="A9" s="435"/>
      <c r="B9" s="675">
        <v>70125</v>
      </c>
      <c r="C9" s="674" t="str">
        <f>RIGHT(A3,10)</f>
        <v>07/31/2026</v>
      </c>
      <c r="D9" s="676" t="s">
        <v>853</v>
      </c>
      <c r="E9" s="669" t="s">
        <v>1538</v>
      </c>
      <c r="F9" s="669"/>
      <c r="G9" s="1119">
        <v>139242.09</v>
      </c>
      <c r="H9" s="669"/>
      <c r="I9" s="669"/>
      <c r="J9" s="669"/>
      <c r="K9" s="669"/>
      <c r="L9" s="669"/>
      <c r="M9" s="669"/>
    </row>
    <row r="10" spans="1:13" s="296" customFormat="1" ht="14.25" customHeight="1">
      <c r="A10" s="437"/>
      <c r="B10" s="556"/>
      <c r="C10" s="674"/>
      <c r="D10" s="557"/>
      <c r="E10" s="558"/>
      <c r="F10" s="559"/>
      <c r="G10" s="888"/>
    </row>
    <row r="11" spans="1:13" s="296" customFormat="1" ht="14.25" customHeight="1">
      <c r="A11" s="437"/>
      <c r="B11" s="556"/>
      <c r="C11" s="674"/>
      <c r="D11" s="557"/>
      <c r="E11" s="558"/>
      <c r="F11" s="559"/>
      <c r="G11" s="888"/>
    </row>
    <row r="12" spans="1:13" s="296" customFormat="1" ht="14.25" customHeight="1">
      <c r="A12" s="437"/>
      <c r="B12" s="556"/>
      <c r="C12" s="674"/>
      <c r="D12" s="557"/>
      <c r="E12" s="558"/>
      <c r="F12" s="559"/>
      <c r="G12" s="888"/>
      <c r="I12" s="296" t="s">
        <v>22</v>
      </c>
    </row>
    <row r="13" spans="1:13" s="296" customFormat="1" ht="13.5" thickBot="1">
      <c r="A13" s="438"/>
      <c r="B13" s="438"/>
      <c r="C13" s="439"/>
      <c r="D13" s="439"/>
      <c r="E13" s="304"/>
      <c r="F13" s="304"/>
      <c r="G13" s="889">
        <f>SUM(G9:G10)</f>
        <v>139242.09</v>
      </c>
    </row>
    <row r="14" spans="1:13">
      <c r="A14" s="296"/>
      <c r="B14" s="296"/>
      <c r="C14" s="296"/>
      <c r="D14" s="296"/>
      <c r="E14" s="296"/>
      <c r="F14" s="296"/>
      <c r="G14" s="299"/>
      <c r="L14" s="296"/>
    </row>
    <row r="15" spans="1:13">
      <c r="A15" s="441"/>
      <c r="B15" s="296"/>
      <c r="C15" s="1247"/>
      <c r="D15" s="1249"/>
      <c r="E15" s="834" t="s">
        <v>852</v>
      </c>
      <c r="F15" s="10"/>
      <c r="G15" s="832" cm="1">
        <f t="array" ref="G15">-IFERROR(INDEX('TB '!$G:$G,MATCH(E15,'TB '!$A:$A,0),0),0)</f>
        <v>139242.09</v>
      </c>
      <c r="L15" s="296"/>
    </row>
    <row r="16" spans="1:13">
      <c r="A16" s="441"/>
      <c r="B16" s="296"/>
      <c r="C16" s="1250"/>
      <c r="D16" s="1251"/>
      <c r="E16" s="834" t="s">
        <v>712</v>
      </c>
      <c r="F16" s="10"/>
      <c r="G16" s="832">
        <f>G13-G15</f>
        <v>0</v>
      </c>
      <c r="L16" s="296"/>
    </row>
    <row r="17" spans="1:12">
      <c r="A17" s="441"/>
      <c r="B17" s="296"/>
      <c r="C17" s="296"/>
      <c r="D17" s="296"/>
      <c r="L17" s="296"/>
    </row>
    <row r="18" spans="1:12">
      <c r="A18" s="441"/>
      <c r="B18" s="296"/>
      <c r="C18" s="296"/>
      <c r="D18" s="296"/>
      <c r="L18" s="296"/>
    </row>
    <row r="19" spans="1:12">
      <c r="A19" s="441"/>
      <c r="B19" s="296"/>
      <c r="C19" s="296"/>
      <c r="D19" s="296"/>
      <c r="L19" s="296"/>
    </row>
    <row r="20" spans="1:12">
      <c r="A20" s="441"/>
      <c r="B20" s="296"/>
      <c r="C20" s="296"/>
      <c r="D20" s="296"/>
      <c r="L20" s="296"/>
    </row>
    <row r="21" spans="1:12">
      <c r="A21" s="441"/>
      <c r="B21" s="296"/>
      <c r="C21" s="296"/>
      <c r="D21" s="296"/>
      <c r="L21" s="296"/>
    </row>
    <row r="22" spans="1:12">
      <c r="A22" s="441"/>
      <c r="B22" s="296"/>
      <c r="C22" s="296"/>
      <c r="D22" s="296"/>
      <c r="L22" s="296"/>
    </row>
    <row r="23" spans="1:12">
      <c r="A23" s="441"/>
      <c r="B23" s="296"/>
      <c r="C23" s="296"/>
      <c r="D23" s="296"/>
      <c r="L23" s="296"/>
    </row>
    <row r="24" spans="1:12">
      <c r="A24" s="441"/>
      <c r="B24" s="296"/>
      <c r="C24" s="296"/>
      <c r="D24" s="296"/>
      <c r="L24" s="296"/>
    </row>
    <row r="25" spans="1:12">
      <c r="A25" s="441"/>
      <c r="B25" s="296"/>
      <c r="C25" s="296"/>
      <c r="D25" s="296"/>
      <c r="L25" s="296"/>
    </row>
    <row r="26" spans="1:12">
      <c r="A26" s="441"/>
      <c r="B26" s="296"/>
      <c r="C26" s="296"/>
      <c r="D26" s="296"/>
      <c r="L26" s="296"/>
    </row>
    <row r="27" spans="1:12">
      <c r="A27" s="441"/>
      <c r="B27" s="296"/>
      <c r="C27" s="296"/>
      <c r="D27" s="296"/>
      <c r="L27" s="296"/>
    </row>
    <row r="28" spans="1:12">
      <c r="A28" s="441"/>
      <c r="B28" s="296"/>
      <c r="C28" s="296"/>
      <c r="D28" s="296"/>
      <c r="L28" s="296"/>
    </row>
    <row r="29" spans="1:12">
      <c r="A29" s="441"/>
      <c r="B29" s="296"/>
      <c r="C29" s="296"/>
      <c r="D29" s="296"/>
      <c r="L29" s="296"/>
    </row>
    <row r="30" spans="1:12">
      <c r="A30" s="441"/>
      <c r="B30" s="296"/>
      <c r="C30" s="296"/>
      <c r="D30" s="296"/>
      <c r="L30" s="296"/>
    </row>
    <row r="31" spans="1:12">
      <c r="A31" s="441"/>
      <c r="B31" s="296"/>
      <c r="C31" s="296"/>
      <c r="D31" s="296"/>
      <c r="L31" s="296"/>
    </row>
    <row r="32" spans="1:12">
      <c r="A32" s="441"/>
      <c r="B32" s="296"/>
      <c r="C32" s="296"/>
      <c r="D32" s="296"/>
      <c r="L32" s="296"/>
    </row>
    <row r="33" spans="1:12">
      <c r="A33" s="441"/>
      <c r="B33" s="296"/>
      <c r="C33" s="296"/>
      <c r="D33" s="296"/>
      <c r="L33" s="296"/>
    </row>
    <row r="34" spans="1:12">
      <c r="A34" s="441"/>
      <c r="B34" s="296"/>
      <c r="C34" s="296"/>
      <c r="D34" s="296"/>
      <c r="L34" s="296"/>
    </row>
    <row r="35" spans="1:12">
      <c r="A35" s="441"/>
      <c r="B35" s="296"/>
      <c r="C35" s="296"/>
      <c r="D35" s="296"/>
      <c r="L35" s="296"/>
    </row>
    <row r="36" spans="1:12">
      <c r="A36" s="441"/>
      <c r="B36" s="296"/>
      <c r="C36" s="296"/>
      <c r="D36" s="296"/>
      <c r="L36" s="296"/>
    </row>
    <row r="37" spans="1:12">
      <c r="A37" s="441"/>
      <c r="B37" s="296"/>
      <c r="C37" s="296"/>
      <c r="D37" s="296"/>
      <c r="L37" s="296"/>
    </row>
    <row r="38" spans="1:12">
      <c r="A38" s="441"/>
      <c r="B38" s="296"/>
      <c r="C38" s="296"/>
      <c r="D38" s="296"/>
      <c r="L38" s="296"/>
    </row>
    <row r="39" spans="1:12">
      <c r="A39" s="441"/>
      <c r="B39" s="296"/>
      <c r="C39" s="296"/>
      <c r="D39" s="296"/>
      <c r="L39" s="296"/>
    </row>
    <row r="40" spans="1:12">
      <c r="A40" s="441"/>
      <c r="B40" s="296"/>
      <c r="C40" s="296"/>
      <c r="D40" s="296"/>
      <c r="L40" s="296"/>
    </row>
    <row r="41" spans="1:12">
      <c r="A41" s="441"/>
      <c r="B41" s="296"/>
      <c r="C41" s="296"/>
      <c r="D41" s="296"/>
      <c r="L41" s="296"/>
    </row>
    <row r="42" spans="1:12">
      <c r="A42" s="441"/>
      <c r="B42" s="296"/>
      <c r="C42" s="296"/>
      <c r="D42" s="296"/>
      <c r="L42" s="296"/>
    </row>
    <row r="43" spans="1:12">
      <c r="A43" s="441"/>
      <c r="B43" s="296"/>
      <c r="C43" s="296"/>
      <c r="D43" s="296"/>
      <c r="L43" s="296"/>
    </row>
    <row r="44" spans="1:12">
      <c r="A44" s="441"/>
      <c r="B44" s="296"/>
      <c r="C44" s="296"/>
      <c r="D44" s="296"/>
      <c r="L44" s="296"/>
    </row>
    <row r="45" spans="1:12">
      <c r="E45" s="296"/>
      <c r="L45" s="296"/>
    </row>
    <row r="46" spans="1:12" ht="13.5" thickBot="1">
      <c r="E46" s="1"/>
      <c r="F46" s="1"/>
      <c r="G46" s="890"/>
      <c r="L46" s="296"/>
    </row>
    <row r="47" spans="1:12" ht="13.5" thickBot="1">
      <c r="B47" s="1229" t="s">
        <v>727</v>
      </c>
      <c r="C47" s="1230"/>
      <c r="D47" s="1230"/>
      <c r="E47" s="1231"/>
      <c r="L47" s="296"/>
    </row>
    <row r="48" spans="1:12">
      <c r="B48" s="618" t="s">
        <v>728</v>
      </c>
      <c r="C48" s="648" t="s">
        <v>729</v>
      </c>
      <c r="D48" s="648" t="s">
        <v>730</v>
      </c>
      <c r="E48" s="649"/>
      <c r="L48" s="296"/>
    </row>
    <row r="49" spans="2:8">
      <c r="B49" s="629"/>
      <c r="C49" s="631">
        <v>5500873513</v>
      </c>
      <c r="D49" s="578">
        <v>55140</v>
      </c>
      <c r="E49" s="630" t="s">
        <v>731</v>
      </c>
    </row>
    <row r="50" spans="2:8">
      <c r="B50" s="621"/>
      <c r="C50" s="333">
        <v>5500874513</v>
      </c>
      <c r="D50" s="5">
        <v>55140</v>
      </c>
      <c r="E50" s="620" t="s">
        <v>731</v>
      </c>
    </row>
    <row r="51" spans="2:8">
      <c r="B51" s="621"/>
      <c r="C51" s="632">
        <v>8546278012</v>
      </c>
      <c r="D51" s="5">
        <v>55140</v>
      </c>
      <c r="E51" s="620" t="s">
        <v>731</v>
      </c>
    </row>
    <row r="52" spans="2:8">
      <c r="B52" s="621"/>
      <c r="C52" s="632">
        <v>8546278910</v>
      </c>
      <c r="D52" s="5">
        <v>55140</v>
      </c>
      <c r="E52" s="620" t="s">
        <v>731</v>
      </c>
    </row>
    <row r="53" spans="2:8">
      <c r="B53" s="621"/>
      <c r="C53" s="632">
        <v>8546274910</v>
      </c>
      <c r="D53" s="5">
        <v>55140</v>
      </c>
      <c r="E53" s="620" t="s">
        <v>731</v>
      </c>
    </row>
    <row r="54" spans="2:8">
      <c r="B54" s="621"/>
      <c r="C54" s="632">
        <v>8546276013</v>
      </c>
      <c r="D54" s="5">
        <v>55140</v>
      </c>
      <c r="E54" s="620" t="s">
        <v>731</v>
      </c>
    </row>
    <row r="55" spans="2:8">
      <c r="B55" s="621"/>
      <c r="C55" s="632">
        <v>8546360013</v>
      </c>
      <c r="D55" s="5">
        <v>55140</v>
      </c>
      <c r="E55" s="620" t="s">
        <v>731</v>
      </c>
    </row>
    <row r="56" spans="2:8">
      <c r="B56" s="621"/>
      <c r="D56" s="5"/>
      <c r="E56" s="620"/>
    </row>
    <row r="57" spans="2:8">
      <c r="B57" s="621"/>
      <c r="D57" s="5"/>
      <c r="E57" s="620"/>
    </row>
    <row r="58" spans="2:8">
      <c r="B58" s="621" t="s">
        <v>732</v>
      </c>
      <c r="C58" t="s">
        <v>733</v>
      </c>
      <c r="D58" s="5">
        <v>55150</v>
      </c>
      <c r="E58" s="620" t="s">
        <v>734</v>
      </c>
      <c r="G58" s="377" t="s">
        <v>735</v>
      </c>
      <c r="H58" t="s">
        <v>736</v>
      </c>
    </row>
    <row r="59" spans="2:8">
      <c r="B59" s="622" t="s">
        <v>737</v>
      </c>
      <c r="C59" t="s">
        <v>738</v>
      </c>
      <c r="D59" s="681">
        <v>55150</v>
      </c>
      <c r="E59" s="620" t="s">
        <v>734</v>
      </c>
      <c r="G59" s="377" t="s">
        <v>739</v>
      </c>
      <c r="H59" t="s">
        <v>736</v>
      </c>
    </row>
    <row r="60" spans="2:8">
      <c r="B60" s="623"/>
      <c r="C60" s="336"/>
      <c r="D60" s="333"/>
      <c r="E60" s="624"/>
    </row>
    <row r="61" spans="2:8">
      <c r="B61" s="621"/>
      <c r="C61" s="632" t="s">
        <v>740</v>
      </c>
      <c r="D61" s="5">
        <v>55180</v>
      </c>
      <c r="E61" s="620" t="s">
        <v>741</v>
      </c>
    </row>
    <row r="62" spans="2:8">
      <c r="B62" s="621"/>
      <c r="C62" s="632" t="s">
        <v>742</v>
      </c>
      <c r="D62" s="5">
        <v>55180</v>
      </c>
      <c r="E62" s="620" t="s">
        <v>741</v>
      </c>
    </row>
    <row r="63" spans="2:8">
      <c r="B63" s="621"/>
      <c r="C63" s="632" t="s">
        <v>743</v>
      </c>
      <c r="D63" s="5">
        <v>55180</v>
      </c>
      <c r="E63" s="620" t="s">
        <v>741</v>
      </c>
    </row>
    <row r="64" spans="2:8">
      <c r="B64" s="619"/>
      <c r="D64" s="5"/>
      <c r="E64" s="620"/>
    </row>
    <row r="65" spans="2:5" ht="15.75" customHeight="1" thickBot="1">
      <c r="B65" s="625"/>
      <c r="C65" s="60"/>
      <c r="D65" s="626"/>
      <c r="E65" s="627"/>
    </row>
    <row r="67" spans="2:5" ht="13.5" thickBot="1"/>
    <row r="68" spans="2:5" ht="13.5" thickBot="1">
      <c r="B68" s="1229" t="s">
        <v>744</v>
      </c>
      <c r="C68" s="1230"/>
      <c r="D68" s="1230"/>
      <c r="E68" s="1231"/>
    </row>
    <row r="69" spans="2:5">
      <c r="B69" s="618" t="s">
        <v>728</v>
      </c>
      <c r="C69" s="648" t="s">
        <v>729</v>
      </c>
      <c r="D69" s="648" t="s">
        <v>730</v>
      </c>
      <c r="E69" s="649"/>
    </row>
    <row r="70" spans="2:5">
      <c r="B70" s="619"/>
      <c r="E70" s="620"/>
    </row>
    <row r="71" spans="2:5">
      <c r="B71" t="s">
        <v>745</v>
      </c>
      <c r="C71" s="628" t="s">
        <v>746</v>
      </c>
      <c r="D71" s="5">
        <v>55110</v>
      </c>
      <c r="E71" s="620"/>
    </row>
    <row r="72" spans="2:5">
      <c r="B72" t="s">
        <v>747</v>
      </c>
      <c r="C72" s="628" t="s">
        <v>748</v>
      </c>
      <c r="D72" s="5">
        <v>55110</v>
      </c>
      <c r="E72" s="620"/>
    </row>
    <row r="73" spans="2:5">
      <c r="B73" t="s">
        <v>749</v>
      </c>
      <c r="C73" s="628" t="s">
        <v>750</v>
      </c>
      <c r="D73" s="5">
        <v>55110</v>
      </c>
      <c r="E73" s="624"/>
    </row>
    <row r="74" spans="2:5">
      <c r="B74" t="s">
        <v>751</v>
      </c>
      <c r="C74" s="628" t="s">
        <v>752</v>
      </c>
      <c r="D74" s="5">
        <v>55110</v>
      </c>
      <c r="E74" s="620"/>
    </row>
    <row r="75" spans="2:5">
      <c r="B75" t="s">
        <v>753</v>
      </c>
      <c r="C75" s="628" t="s">
        <v>754</v>
      </c>
      <c r="D75" s="5">
        <v>55110</v>
      </c>
      <c r="E75" s="620"/>
    </row>
    <row r="76" spans="2:5">
      <c r="B76" s="621" t="s">
        <v>755</v>
      </c>
      <c r="C76" s="628" t="s">
        <v>756</v>
      </c>
      <c r="D76" s="5">
        <v>55110</v>
      </c>
      <c r="E76" s="620"/>
    </row>
    <row r="77" spans="2:5">
      <c r="B77" t="s">
        <v>757</v>
      </c>
      <c r="C77" s="628" t="s">
        <v>758</v>
      </c>
      <c r="D77" s="5">
        <v>55110</v>
      </c>
      <c r="E77" s="620"/>
    </row>
    <row r="78" spans="2:5" ht="13.5" thickBot="1">
      <c r="B78" s="625"/>
      <c r="C78" s="60"/>
      <c r="D78" s="626"/>
      <c r="E78" s="627"/>
    </row>
    <row r="79" spans="2:5">
      <c r="C79" s="1" t="s">
        <v>759</v>
      </c>
    </row>
    <row r="80" spans="2:5">
      <c r="C80" s="333"/>
    </row>
    <row r="81" spans="2:4">
      <c r="B81" t="s">
        <v>747</v>
      </c>
      <c r="C81" s="691" t="s">
        <v>760</v>
      </c>
      <c r="D81" t="s">
        <v>761</v>
      </c>
    </row>
    <row r="82" spans="2:4">
      <c r="B82" t="s">
        <v>745</v>
      </c>
      <c r="C82" s="691" t="s">
        <v>762</v>
      </c>
    </row>
    <row r="83" spans="2:4">
      <c r="B83" t="s">
        <v>753</v>
      </c>
      <c r="C83" s="691" t="s">
        <v>763</v>
      </c>
      <c r="D83" t="s">
        <v>761</v>
      </c>
    </row>
    <row r="84" spans="2:4">
      <c r="B84" t="s">
        <v>757</v>
      </c>
      <c r="C84" s="691" t="s">
        <v>764</v>
      </c>
    </row>
    <row r="85" spans="2:4">
      <c r="B85" t="s">
        <v>751</v>
      </c>
      <c r="C85" s="691" t="s">
        <v>765</v>
      </c>
    </row>
    <row r="86" spans="2:4">
      <c r="B86" t="s">
        <v>749</v>
      </c>
      <c r="C86" s="691" t="s">
        <v>766</v>
      </c>
    </row>
    <row r="87" spans="2:4">
      <c r="B87" t="s">
        <v>755</v>
      </c>
      <c r="C87" s="691" t="s">
        <v>767</v>
      </c>
      <c r="D87" t="s">
        <v>761</v>
      </c>
    </row>
  </sheetData>
  <mergeCells count="6">
    <mergeCell ref="A1:G1"/>
    <mergeCell ref="A2:G2"/>
    <mergeCell ref="A3:G3"/>
    <mergeCell ref="B47:E47"/>
    <mergeCell ref="B68:E68"/>
    <mergeCell ref="C15:D16"/>
  </mergeCells>
  <pageMargins left="0.7" right="0.7" top="0.75" bottom="0.75" header="0.3" footer="0.3"/>
  <pageSetup scale="88" orientation="landscape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Sheet55"/>
  <dimension ref="A1:J104"/>
  <sheetViews>
    <sheetView zoomScaleNormal="100" workbookViewId="0">
      <pane ySplit="9" topLeftCell="A76" activePane="bottomLeft" state="frozen"/>
      <selection pane="bottomLeft" sqref="A1:E1"/>
    </sheetView>
  </sheetViews>
  <sheetFormatPr defaultRowHeight="12.75"/>
  <cols>
    <col min="1" max="1" width="12.5703125" customWidth="1"/>
    <col min="2" max="2" width="2.5703125" customWidth="1"/>
    <col min="3" max="3" width="13.5703125" hidden="1" customWidth="1"/>
    <col min="4" max="4" width="47" bestFit="1" customWidth="1"/>
    <col min="5" max="5" width="22" customWidth="1"/>
    <col min="6" max="6" width="10.5703125" bestFit="1" customWidth="1"/>
    <col min="7" max="7" width="13.140625" bestFit="1" customWidth="1"/>
    <col min="8" max="8" width="14" bestFit="1" customWidth="1"/>
  </cols>
  <sheetData>
    <row r="1" spans="1:10" s="296" customFormat="1" ht="18">
      <c r="A1" s="1179" t="str">
        <f>'Review Comments'!B9</f>
        <v>COCONUT GROVE RETAIL XIII, LLC</v>
      </c>
      <c r="B1" s="1180"/>
      <c r="C1" s="1180"/>
      <c r="D1" s="1180"/>
      <c r="E1" s="1181"/>
    </row>
    <row r="2" spans="1:10" s="296" customFormat="1" ht="18">
      <c r="A2" s="1201" t="s">
        <v>854</v>
      </c>
      <c r="B2" s="1202"/>
      <c r="C2" s="1202"/>
      <c r="D2" s="1202"/>
      <c r="E2" s="1203"/>
    </row>
    <row r="3" spans="1:10" s="296" customFormat="1" ht="18.75" thickBot="1">
      <c r="A3" s="1214" t="str">
        <f>'Review Comments'!B11</f>
        <v>FOR THE MONTH 07/31/2026</v>
      </c>
      <c r="B3" s="1215"/>
      <c r="C3" s="1215"/>
      <c r="D3" s="1215"/>
      <c r="E3" s="1216"/>
    </row>
    <row r="4" spans="1:10" s="296" customFormat="1"/>
    <row r="5" spans="1:10" s="296" customFormat="1"/>
    <row r="6" spans="1:10" s="296" customFormat="1"/>
    <row r="7" spans="1:10" s="296" customFormat="1" ht="13.5" thickBot="1">
      <c r="E7" s="819" t="s">
        <v>855</v>
      </c>
    </row>
    <row r="8" spans="1:10" s="296" customFormat="1" ht="1.5" customHeight="1">
      <c r="A8" s="318"/>
      <c r="B8" s="319"/>
      <c r="C8" s="319"/>
      <c r="D8" s="319"/>
      <c r="E8" s="320"/>
    </row>
    <row r="9" spans="1:10" s="296" customFormat="1" ht="39.75" customHeight="1" thickBot="1">
      <c r="A9" s="321" t="s">
        <v>714</v>
      </c>
      <c r="B9" s="322"/>
      <c r="C9" s="322" t="s">
        <v>544</v>
      </c>
      <c r="D9" s="322" t="s">
        <v>10</v>
      </c>
      <c r="E9" s="323" t="s">
        <v>856</v>
      </c>
      <c r="F9" s="297"/>
      <c r="G9" s="297"/>
      <c r="H9" s="297"/>
      <c r="I9" s="297"/>
      <c r="J9" s="297"/>
    </row>
    <row r="10" spans="1:10" s="296" customFormat="1">
      <c r="A10" s="301"/>
      <c r="E10" s="308"/>
    </row>
    <row r="11" spans="1:10" s="296" customFormat="1">
      <c r="A11" s="444"/>
      <c r="D11" s="424"/>
      <c r="E11" s="426"/>
      <c r="G11" s="686"/>
      <c r="H11" s="705"/>
    </row>
    <row r="12" spans="1:10" s="296" customFormat="1" ht="15" customHeight="1">
      <c r="A12" s="420">
        <v>43027</v>
      </c>
      <c r="B12" s="326"/>
      <c r="C12" s="327"/>
      <c r="D12" s="424" t="s">
        <v>857</v>
      </c>
      <c r="E12" s="422">
        <v>45000</v>
      </c>
      <c r="G12" s="818"/>
      <c r="H12" s="820"/>
    </row>
    <row r="13" spans="1:10" s="296" customFormat="1" ht="15" customHeight="1">
      <c r="A13" s="420">
        <v>43055</v>
      </c>
      <c r="B13" s="326"/>
      <c r="C13" s="327"/>
      <c r="D13" s="424" t="s">
        <v>858</v>
      </c>
      <c r="E13" s="422">
        <v>60000</v>
      </c>
    </row>
    <row r="14" spans="1:10" s="424" customFormat="1" ht="15" customHeight="1">
      <c r="A14" s="420">
        <v>43088</v>
      </c>
      <c r="B14" s="326"/>
      <c r="C14" s="327"/>
      <c r="D14" s="424" t="s">
        <v>859</v>
      </c>
      <c r="E14" s="422">
        <v>55000</v>
      </c>
    </row>
    <row r="15" spans="1:10" s="424" customFormat="1" ht="15" customHeight="1">
      <c r="A15" s="420">
        <v>43124</v>
      </c>
      <c r="B15" s="326"/>
      <c r="C15" s="327"/>
      <c r="D15" s="424" t="s">
        <v>860</v>
      </c>
      <c r="E15" s="422">
        <v>55000</v>
      </c>
    </row>
    <row r="16" spans="1:10" s="424" customFormat="1" ht="15" customHeight="1">
      <c r="A16" s="420">
        <v>43154</v>
      </c>
      <c r="B16" s="326"/>
      <c r="C16" s="327"/>
      <c r="D16" s="424" t="s">
        <v>861</v>
      </c>
      <c r="E16" s="422">
        <v>60000</v>
      </c>
    </row>
    <row r="17" spans="1:5" s="424" customFormat="1" ht="15" customHeight="1">
      <c r="A17" s="420">
        <v>43175</v>
      </c>
      <c r="B17" s="326"/>
      <c r="C17" s="327"/>
      <c r="D17" s="424" t="s">
        <v>862</v>
      </c>
      <c r="E17" s="422">
        <v>55000</v>
      </c>
    </row>
    <row r="18" spans="1:5" s="424" customFormat="1" ht="15" customHeight="1">
      <c r="A18" s="420">
        <v>43213</v>
      </c>
      <c r="B18" s="326"/>
      <c r="C18" s="327"/>
      <c r="D18" s="424" t="s">
        <v>863</v>
      </c>
      <c r="E18" s="422">
        <v>80000</v>
      </c>
    </row>
    <row r="19" spans="1:5" s="424" customFormat="1" ht="15" customHeight="1">
      <c r="A19" s="420">
        <v>43238</v>
      </c>
      <c r="B19" s="326"/>
      <c r="C19" s="327"/>
      <c r="D19" s="424" t="s">
        <v>864</v>
      </c>
      <c r="E19" s="422">
        <v>85000</v>
      </c>
    </row>
    <row r="20" spans="1:5" s="424" customFormat="1" ht="15" customHeight="1">
      <c r="A20" s="420">
        <v>43271</v>
      </c>
      <c r="B20" s="326"/>
      <c r="C20" s="327"/>
      <c r="D20" s="424" t="s">
        <v>865</v>
      </c>
      <c r="E20" s="422">
        <v>175000</v>
      </c>
    </row>
    <row r="21" spans="1:5" s="424" customFormat="1" ht="15" customHeight="1">
      <c r="A21" s="420">
        <v>43301</v>
      </c>
      <c r="B21" s="326"/>
      <c r="C21" s="327"/>
      <c r="D21" s="424" t="s">
        <v>866</v>
      </c>
      <c r="E21" s="422">
        <v>90000</v>
      </c>
    </row>
    <row r="22" spans="1:5" s="424" customFormat="1" ht="15" customHeight="1">
      <c r="A22" s="420">
        <v>43329</v>
      </c>
      <c r="B22" s="326"/>
      <c r="C22" s="327"/>
      <c r="D22" s="424" t="s">
        <v>867</v>
      </c>
      <c r="E22" s="422">
        <v>80000</v>
      </c>
    </row>
    <row r="23" spans="1:5" s="424" customFormat="1" ht="15" customHeight="1">
      <c r="A23" s="420">
        <v>43362</v>
      </c>
      <c r="B23" s="326"/>
      <c r="C23" s="327"/>
      <c r="D23" s="424" t="s">
        <v>868</v>
      </c>
      <c r="E23" s="422">
        <f>60000+50000</f>
        <v>110000</v>
      </c>
    </row>
    <row r="24" spans="1:5" s="424" customFormat="1" ht="15" customHeight="1">
      <c r="A24" s="420">
        <v>43395</v>
      </c>
      <c r="B24" s="326"/>
      <c r="C24" s="327"/>
      <c r="D24" s="424" t="s">
        <v>869</v>
      </c>
      <c r="E24" s="422">
        <v>40000</v>
      </c>
    </row>
    <row r="25" spans="1:5" s="424" customFormat="1" ht="15" customHeight="1">
      <c r="A25" s="420">
        <v>43423</v>
      </c>
      <c r="B25" s="326"/>
      <c r="C25" s="327"/>
      <c r="D25" s="424" t="s">
        <v>870</v>
      </c>
      <c r="E25" s="422">
        <v>85000</v>
      </c>
    </row>
    <row r="26" spans="1:5" s="424" customFormat="1" ht="15" customHeight="1">
      <c r="A26" s="420">
        <v>43452</v>
      </c>
      <c r="B26" s="326"/>
      <c r="C26" s="327"/>
      <c r="D26" s="424" t="s">
        <v>871</v>
      </c>
      <c r="E26" s="422">
        <v>125000</v>
      </c>
    </row>
    <row r="27" spans="1:5" s="424" customFormat="1" ht="15" customHeight="1">
      <c r="A27" s="420">
        <v>43465</v>
      </c>
      <c r="B27" s="326"/>
      <c r="C27" s="327"/>
      <c r="D27" s="424" t="s">
        <v>872</v>
      </c>
      <c r="E27" s="422">
        <v>-160000</v>
      </c>
    </row>
    <row r="28" spans="1:5" s="424" customFormat="1" ht="15" customHeight="1">
      <c r="A28" s="420">
        <v>43483</v>
      </c>
      <c r="B28" s="326"/>
      <c r="C28" s="327"/>
      <c r="D28" s="424" t="s">
        <v>873</v>
      </c>
      <c r="E28" s="422">
        <v>80000</v>
      </c>
    </row>
    <row r="29" spans="1:5" s="424" customFormat="1" ht="15" customHeight="1">
      <c r="A29" s="420">
        <v>43515</v>
      </c>
      <c r="B29" s="326"/>
      <c r="C29" s="327"/>
      <c r="D29" s="424" t="s">
        <v>874</v>
      </c>
      <c r="E29" s="422">
        <v>75000</v>
      </c>
    </row>
    <row r="30" spans="1:5" s="642" customFormat="1" ht="15" customHeight="1">
      <c r="A30" s="420">
        <v>43543</v>
      </c>
      <c r="B30" s="326"/>
      <c r="C30" s="327"/>
      <c r="D30" s="424" t="s">
        <v>875</v>
      </c>
      <c r="E30" s="422">
        <v>50000</v>
      </c>
    </row>
    <row r="31" spans="1:5" s="642" customFormat="1" ht="15" customHeight="1">
      <c r="A31" s="420">
        <v>43572</v>
      </c>
      <c r="B31" s="326"/>
      <c r="C31" s="327"/>
      <c r="D31" s="424" t="s">
        <v>876</v>
      </c>
      <c r="E31" s="422">
        <v>100000</v>
      </c>
    </row>
    <row r="32" spans="1:5" s="642" customFormat="1" ht="15" customHeight="1">
      <c r="A32" s="420">
        <v>43601</v>
      </c>
      <c r="B32" s="326"/>
      <c r="C32" s="327"/>
      <c r="D32" s="424" t="s">
        <v>877</v>
      </c>
      <c r="E32" s="422">
        <v>100000</v>
      </c>
    </row>
    <row r="33" spans="1:5" s="642" customFormat="1" ht="15" customHeight="1">
      <c r="A33" s="420">
        <v>43636</v>
      </c>
      <c r="B33" s="326"/>
      <c r="C33" s="327"/>
      <c r="D33" s="424" t="s">
        <v>878</v>
      </c>
      <c r="E33" s="422">
        <v>80000</v>
      </c>
    </row>
    <row r="34" spans="1:5" s="642" customFormat="1" ht="15" customHeight="1">
      <c r="A34" s="420">
        <v>43664</v>
      </c>
      <c r="B34" s="326"/>
      <c r="C34" s="327"/>
      <c r="D34" s="424" t="s">
        <v>879</v>
      </c>
      <c r="E34" s="422">
        <v>30000</v>
      </c>
    </row>
    <row r="35" spans="1:5" s="642" customFormat="1" ht="15" customHeight="1">
      <c r="A35" s="420">
        <v>43733</v>
      </c>
      <c r="B35" s="326"/>
      <c r="C35" s="327"/>
      <c r="D35" s="424" t="s">
        <v>880</v>
      </c>
      <c r="E35" s="422">
        <v>170000</v>
      </c>
    </row>
    <row r="36" spans="1:5" s="642" customFormat="1" ht="15" customHeight="1">
      <c r="A36" s="420">
        <v>43756</v>
      </c>
      <c r="B36" s="326"/>
      <c r="C36" s="327"/>
      <c r="D36" s="424" t="s">
        <v>881</v>
      </c>
      <c r="E36" s="422">
        <v>40000</v>
      </c>
    </row>
    <row r="37" spans="1:5" s="642" customFormat="1" ht="15" customHeight="1">
      <c r="A37" s="420">
        <v>43787</v>
      </c>
      <c r="B37" s="326"/>
      <c r="C37" s="327"/>
      <c r="D37" s="424" t="s">
        <v>882</v>
      </c>
      <c r="E37" s="422">
        <v>20000</v>
      </c>
    </row>
    <row r="38" spans="1:5" s="642" customFormat="1" ht="15" customHeight="1">
      <c r="A38" s="420">
        <v>43817</v>
      </c>
      <c r="B38" s="326"/>
      <c r="C38" s="327"/>
      <c r="D38" s="424" t="s">
        <v>883</v>
      </c>
      <c r="E38" s="422">
        <v>55000</v>
      </c>
    </row>
    <row r="39" spans="1:5" s="424" customFormat="1" ht="15" customHeight="1">
      <c r="A39" s="420">
        <v>43830</v>
      </c>
      <c r="B39" s="326"/>
      <c r="C39" s="327"/>
      <c r="D39" s="424" t="s">
        <v>884</v>
      </c>
      <c r="E39" s="422">
        <v>-1040000</v>
      </c>
    </row>
    <row r="40" spans="1:5" s="642" customFormat="1" ht="15" customHeight="1">
      <c r="A40" s="420">
        <v>43847</v>
      </c>
      <c r="B40" s="326"/>
      <c r="C40" s="327"/>
      <c r="D40" s="424" t="s">
        <v>885</v>
      </c>
      <c r="E40" s="422">
        <v>65000</v>
      </c>
    </row>
    <row r="41" spans="1:5" s="642" customFormat="1" ht="15" customHeight="1">
      <c r="A41" s="420">
        <v>43880</v>
      </c>
      <c r="B41" s="326"/>
      <c r="C41" s="327"/>
      <c r="D41" s="424" t="s">
        <v>886</v>
      </c>
      <c r="E41" s="422">
        <v>80000</v>
      </c>
    </row>
    <row r="42" spans="1:5" s="642" customFormat="1" ht="15" customHeight="1">
      <c r="A42" s="420">
        <v>43908</v>
      </c>
      <c r="B42" s="326"/>
      <c r="C42" s="327"/>
      <c r="D42" s="424" t="s">
        <v>887</v>
      </c>
      <c r="E42" s="422">
        <v>125000</v>
      </c>
    </row>
    <row r="43" spans="1:5" s="642" customFormat="1" ht="15" customHeight="1">
      <c r="A43" s="420">
        <v>44196</v>
      </c>
      <c r="B43" s="326"/>
      <c r="C43" s="327"/>
      <c r="D43" s="424" t="s">
        <v>888</v>
      </c>
      <c r="E43" s="422">
        <v>-800000</v>
      </c>
    </row>
    <row r="44" spans="1:5" s="642" customFormat="1" ht="15" customHeight="1">
      <c r="A44" s="420">
        <v>44461</v>
      </c>
      <c r="B44" s="326"/>
      <c r="C44" s="327"/>
      <c r="D44" s="424" t="s">
        <v>889</v>
      </c>
      <c r="E44" s="422">
        <v>35000</v>
      </c>
    </row>
    <row r="45" spans="1:5" s="642" customFormat="1" ht="15" customHeight="1">
      <c r="A45" s="420">
        <v>44519</v>
      </c>
      <c r="B45" s="326"/>
      <c r="C45" s="327"/>
      <c r="D45" s="424" t="s">
        <v>890</v>
      </c>
      <c r="E45" s="422">
        <v>200000</v>
      </c>
    </row>
    <row r="46" spans="1:5" s="642" customFormat="1" ht="15" customHeight="1">
      <c r="A46" s="420">
        <v>44549</v>
      </c>
      <c r="B46" s="326"/>
      <c r="C46" s="327"/>
      <c r="D46" s="424" t="s">
        <v>890</v>
      </c>
      <c r="E46" s="422">
        <v>220000</v>
      </c>
    </row>
    <row r="47" spans="1:5" s="642" customFormat="1" ht="15" customHeight="1">
      <c r="A47" s="420">
        <v>44561</v>
      </c>
      <c r="B47" s="326"/>
      <c r="C47" s="327"/>
      <c r="D47" s="424" t="s">
        <v>891</v>
      </c>
      <c r="E47" s="422">
        <v>-270000</v>
      </c>
    </row>
    <row r="48" spans="1:5" s="642" customFormat="1" ht="15" customHeight="1">
      <c r="A48" s="420">
        <v>44561</v>
      </c>
      <c r="B48" s="326"/>
      <c r="C48" s="327"/>
      <c r="D48" s="424" t="s">
        <v>892</v>
      </c>
      <c r="E48" s="422">
        <v>50000</v>
      </c>
    </row>
    <row r="49" spans="1:5" s="642" customFormat="1" ht="15" customHeight="1">
      <c r="A49" s="420">
        <v>44582</v>
      </c>
      <c r="B49" s="326"/>
      <c r="C49" s="327"/>
      <c r="D49" s="424" t="s">
        <v>893</v>
      </c>
      <c r="E49" s="422">
        <v>94000</v>
      </c>
    </row>
    <row r="50" spans="1:5" s="642" customFormat="1" ht="15" customHeight="1">
      <c r="A50" s="420">
        <v>44620</v>
      </c>
      <c r="B50" s="326"/>
      <c r="C50" s="327"/>
      <c r="D50" s="424" t="s">
        <v>894</v>
      </c>
      <c r="E50" s="422">
        <v>76000</v>
      </c>
    </row>
    <row r="51" spans="1:5" s="642" customFormat="1" ht="15" customHeight="1">
      <c r="A51" s="420">
        <v>44651</v>
      </c>
      <c r="B51" s="326"/>
      <c r="C51" s="327"/>
      <c r="D51" s="424" t="s">
        <v>895</v>
      </c>
      <c r="E51" s="422">
        <v>168000</v>
      </c>
    </row>
    <row r="52" spans="1:5" s="642" customFormat="1" ht="15" customHeight="1">
      <c r="A52" s="420">
        <v>44681</v>
      </c>
      <c r="B52" s="326"/>
      <c r="C52" s="327"/>
      <c r="D52" s="424" t="s">
        <v>896</v>
      </c>
      <c r="E52" s="422">
        <v>125000</v>
      </c>
    </row>
    <row r="53" spans="1:5" s="642" customFormat="1" ht="15" customHeight="1">
      <c r="A53" s="420">
        <v>44742</v>
      </c>
      <c r="B53" s="326"/>
      <c r="C53" s="327"/>
      <c r="D53" s="424" t="s">
        <v>897</v>
      </c>
      <c r="E53" s="422">
        <v>150000</v>
      </c>
    </row>
    <row r="54" spans="1:5" s="642" customFormat="1" ht="15" customHeight="1">
      <c r="A54" s="420">
        <v>44762</v>
      </c>
      <c r="B54" s="326"/>
      <c r="C54" s="327"/>
      <c r="D54" s="424" t="s">
        <v>898</v>
      </c>
      <c r="E54" s="422">
        <v>75000</v>
      </c>
    </row>
    <row r="55" spans="1:5" s="642" customFormat="1" ht="15" customHeight="1">
      <c r="A55" s="420">
        <v>44791</v>
      </c>
      <c r="B55" s="326"/>
      <c r="C55" s="327"/>
      <c r="D55" s="424" t="s">
        <v>899</v>
      </c>
      <c r="E55" s="422">
        <v>82000</v>
      </c>
    </row>
    <row r="56" spans="1:5" s="642" customFormat="1" ht="15" customHeight="1">
      <c r="A56" s="420">
        <v>44824</v>
      </c>
      <c r="B56" s="326"/>
      <c r="C56" s="327"/>
      <c r="D56" s="424" t="s">
        <v>900</v>
      </c>
      <c r="E56" s="422">
        <v>125000</v>
      </c>
    </row>
    <row r="57" spans="1:5" s="642" customFormat="1" ht="15" customHeight="1">
      <c r="A57" s="420">
        <v>44854</v>
      </c>
      <c r="B57" s="326"/>
      <c r="C57" s="327"/>
      <c r="D57" s="424" t="s">
        <v>901</v>
      </c>
      <c r="E57" s="422">
        <v>105000</v>
      </c>
    </row>
    <row r="58" spans="1:5" s="642" customFormat="1" ht="15" customHeight="1">
      <c r="A58" s="420">
        <v>44885</v>
      </c>
      <c r="B58" s="326"/>
      <c r="C58" s="327"/>
      <c r="D58" s="424" t="s">
        <v>902</v>
      </c>
      <c r="E58" s="422">
        <v>70000</v>
      </c>
    </row>
    <row r="59" spans="1:5" s="642" customFormat="1" ht="15" customHeight="1">
      <c r="A59" s="420">
        <v>44914</v>
      </c>
      <c r="B59" s="326"/>
      <c r="C59" s="327"/>
      <c r="D59" s="424" t="s">
        <v>903</v>
      </c>
      <c r="E59" s="422">
        <v>71000</v>
      </c>
    </row>
    <row r="60" spans="1:5" s="642" customFormat="1" ht="15" customHeight="1">
      <c r="A60" s="420">
        <v>44926</v>
      </c>
      <c r="B60" s="326"/>
      <c r="C60" s="327"/>
      <c r="D60" s="424" t="s">
        <v>661</v>
      </c>
      <c r="E60" s="422">
        <v>-505000</v>
      </c>
    </row>
    <row r="61" spans="1:5" s="642" customFormat="1" ht="15" customHeight="1">
      <c r="A61" s="420">
        <v>44945</v>
      </c>
      <c r="B61" s="326"/>
      <c r="C61" s="327"/>
      <c r="D61" s="424" t="s">
        <v>904</v>
      </c>
      <c r="E61" s="422">
        <v>100000</v>
      </c>
    </row>
    <row r="62" spans="1:5" s="642" customFormat="1" ht="15" customHeight="1">
      <c r="A62" s="420">
        <v>44974</v>
      </c>
      <c r="B62" s="326"/>
      <c r="C62" s="327"/>
      <c r="D62" s="424" t="s">
        <v>905</v>
      </c>
      <c r="E62" s="422">
        <v>85000</v>
      </c>
    </row>
    <row r="63" spans="1:5" s="642" customFormat="1" ht="15" customHeight="1">
      <c r="A63" s="420">
        <v>45005</v>
      </c>
      <c r="B63" s="326"/>
      <c r="C63" s="327"/>
      <c r="D63" s="424" t="s">
        <v>906</v>
      </c>
      <c r="E63" s="422">
        <v>80000</v>
      </c>
    </row>
    <row r="64" spans="1:5" s="642" customFormat="1" ht="15" customHeight="1">
      <c r="A64" s="420">
        <v>45035</v>
      </c>
      <c r="B64" s="326"/>
      <c r="C64" s="327"/>
      <c r="D64" s="424" t="s">
        <v>907</v>
      </c>
      <c r="E64" s="422">
        <v>137000</v>
      </c>
    </row>
    <row r="65" spans="1:5" s="642" customFormat="1" ht="15" customHeight="1">
      <c r="A65" s="420">
        <v>45065</v>
      </c>
      <c r="B65" s="326"/>
      <c r="C65" s="327"/>
      <c r="D65" s="424" t="s">
        <v>908</v>
      </c>
      <c r="E65" s="422">
        <v>25000</v>
      </c>
    </row>
    <row r="66" spans="1:5" s="642" customFormat="1" ht="15" customHeight="1">
      <c r="A66" s="420">
        <v>45097</v>
      </c>
      <c r="B66" s="326"/>
      <c r="C66" s="327"/>
      <c r="D66" s="424" t="s">
        <v>909</v>
      </c>
      <c r="E66" s="422">
        <v>80000</v>
      </c>
    </row>
    <row r="67" spans="1:5" s="642" customFormat="1" ht="15" customHeight="1">
      <c r="A67" s="420">
        <v>45126</v>
      </c>
      <c r="B67" s="296"/>
      <c r="C67" s="296"/>
      <c r="D67" s="424" t="s">
        <v>910</v>
      </c>
      <c r="E67" s="422">
        <v>100000</v>
      </c>
    </row>
    <row r="68" spans="1:5" s="642" customFormat="1" ht="15" customHeight="1">
      <c r="A68" s="420">
        <v>45187</v>
      </c>
      <c r="B68" s="296"/>
      <c r="C68" s="296"/>
      <c r="D68" s="424" t="s">
        <v>911</v>
      </c>
      <c r="E68" s="422">
        <v>50000</v>
      </c>
    </row>
    <row r="69" spans="1:5" s="642" customFormat="1" ht="15" customHeight="1">
      <c r="A69" s="420">
        <v>45212</v>
      </c>
      <c r="B69" s="296"/>
      <c r="C69" s="296"/>
      <c r="D69" s="424" t="s">
        <v>912</v>
      </c>
      <c r="E69" s="422">
        <v>64000</v>
      </c>
    </row>
    <row r="70" spans="1:5" s="642" customFormat="1" ht="15" customHeight="1">
      <c r="A70" s="420">
        <v>45250</v>
      </c>
      <c r="B70" s="296"/>
      <c r="C70" s="296"/>
      <c r="D70" s="424" t="s">
        <v>913</v>
      </c>
      <c r="E70" s="422">
        <v>50000</v>
      </c>
    </row>
    <row r="71" spans="1:5" s="642" customFormat="1" ht="15" customHeight="1">
      <c r="A71" s="727">
        <v>45280</v>
      </c>
      <c r="B71" s="424"/>
      <c r="C71" s="424"/>
      <c r="D71" s="728" t="s">
        <v>914</v>
      </c>
      <c r="E71" s="422">
        <v>30000</v>
      </c>
    </row>
    <row r="72" spans="1:5" s="642" customFormat="1" ht="15" customHeight="1">
      <c r="A72" s="727">
        <v>45310</v>
      </c>
      <c r="B72" s="424"/>
      <c r="C72" s="424"/>
      <c r="D72" s="728" t="s">
        <v>914</v>
      </c>
      <c r="E72" s="422">
        <v>100000</v>
      </c>
    </row>
    <row r="73" spans="1:5" s="642" customFormat="1" ht="15" customHeight="1">
      <c r="A73" s="727">
        <v>45343</v>
      </c>
      <c r="B73" s="424"/>
      <c r="C73" s="424"/>
      <c r="D73" s="728" t="s">
        <v>914</v>
      </c>
      <c r="E73" s="422">
        <v>100000</v>
      </c>
    </row>
    <row r="74" spans="1:5" s="296" customFormat="1">
      <c r="A74" s="727">
        <v>45371</v>
      </c>
      <c r="D74" s="728" t="s">
        <v>914</v>
      </c>
      <c r="E74" s="422">
        <v>135000</v>
      </c>
    </row>
    <row r="75" spans="1:5" s="296" customFormat="1">
      <c r="A75" s="727">
        <v>45399</v>
      </c>
      <c r="D75" s="728" t="s">
        <v>914</v>
      </c>
      <c r="E75" s="422">
        <v>150000</v>
      </c>
    </row>
    <row r="76" spans="1:5" s="296" customFormat="1">
      <c r="A76" s="727">
        <v>45432</v>
      </c>
      <c r="D76" s="728" t="s">
        <v>914</v>
      </c>
      <c r="E76" s="422">
        <v>100000</v>
      </c>
    </row>
    <row r="77" spans="1:5" s="296" customFormat="1">
      <c r="A77" s="727">
        <v>45492</v>
      </c>
      <c r="D77" s="728" t="s">
        <v>914</v>
      </c>
      <c r="E77" s="422">
        <v>115000</v>
      </c>
    </row>
    <row r="78" spans="1:5" s="296" customFormat="1">
      <c r="A78" s="727">
        <v>45524</v>
      </c>
      <c r="D78" s="728" t="s">
        <v>914</v>
      </c>
      <c r="E78" s="422">
        <v>106000</v>
      </c>
    </row>
    <row r="79" spans="1:5" s="296" customFormat="1">
      <c r="A79" s="727">
        <v>45551</v>
      </c>
      <c r="D79" s="728" t="s">
        <v>914</v>
      </c>
      <c r="E79" s="422">
        <v>352000</v>
      </c>
    </row>
    <row r="80" spans="1:5" s="296" customFormat="1">
      <c r="A80" s="727">
        <v>45583</v>
      </c>
      <c r="D80" s="728" t="s">
        <v>914</v>
      </c>
      <c r="E80" s="422">
        <v>10000</v>
      </c>
    </row>
    <row r="81" spans="1:7" s="296" customFormat="1">
      <c r="A81" s="727">
        <v>45615</v>
      </c>
      <c r="D81" s="728" t="s">
        <v>914</v>
      </c>
      <c r="E81" s="422">
        <v>10000</v>
      </c>
    </row>
    <row r="82" spans="1:7" s="296" customFormat="1">
      <c r="A82" s="727">
        <v>45291</v>
      </c>
      <c r="D82" s="728" t="s">
        <v>467</v>
      </c>
      <c r="E82" s="422">
        <v>-1141000</v>
      </c>
      <c r="G82" s="705"/>
    </row>
    <row r="83" spans="1:7" s="296" customFormat="1">
      <c r="A83" s="727">
        <v>45291</v>
      </c>
      <c r="D83" s="728" t="s">
        <v>467</v>
      </c>
      <c r="E83" s="422">
        <v>120000</v>
      </c>
      <c r="G83" s="705"/>
    </row>
    <row r="84" spans="1:7" s="296" customFormat="1">
      <c r="A84" s="727">
        <v>45658</v>
      </c>
      <c r="D84" s="728" t="s">
        <v>1292</v>
      </c>
      <c r="E84" s="422">
        <v>13139709.449999999</v>
      </c>
      <c r="G84" s="705"/>
    </row>
    <row r="85" spans="1:7" s="296" customFormat="1">
      <c r="A85" s="727">
        <v>45706</v>
      </c>
      <c r="D85" s="728" t="s">
        <v>914</v>
      </c>
      <c r="E85" s="422">
        <v>15000</v>
      </c>
      <c r="G85" s="705"/>
    </row>
    <row r="86" spans="1:7" s="296" customFormat="1">
      <c r="A86" s="727">
        <v>45736</v>
      </c>
      <c r="D86" s="728" t="s">
        <v>914</v>
      </c>
      <c r="E86" s="422">
        <v>30000</v>
      </c>
      <c r="G86" s="705"/>
    </row>
    <row r="87" spans="1:7" s="296" customFormat="1">
      <c r="A87" s="727">
        <v>45775</v>
      </c>
      <c r="D87" s="728" t="s">
        <v>914</v>
      </c>
      <c r="E87" s="422">
        <v>170000</v>
      </c>
      <c r="G87" s="705"/>
    </row>
    <row r="88" spans="1:7" s="296" customFormat="1">
      <c r="A88" s="727">
        <v>45951</v>
      </c>
      <c r="D88" s="728" t="s">
        <v>914</v>
      </c>
      <c r="E88" s="422">
        <v>30000</v>
      </c>
      <c r="G88" s="705"/>
    </row>
    <row r="89" spans="1:7" s="296" customFormat="1">
      <c r="A89" s="727">
        <v>45657</v>
      </c>
      <c r="D89" s="728" t="s">
        <v>1418</v>
      </c>
      <c r="E89" s="422">
        <v>-921000</v>
      </c>
      <c r="G89" s="705"/>
    </row>
    <row r="90" spans="1:7" s="296" customFormat="1">
      <c r="A90" s="727">
        <v>45657</v>
      </c>
      <c r="D90" s="728" t="s">
        <v>1419</v>
      </c>
      <c r="E90" s="422">
        <v>12604709.449999999</v>
      </c>
      <c r="G90" s="705"/>
    </row>
    <row r="91" spans="1:7" s="296" customFormat="1">
      <c r="A91" s="727">
        <v>45657</v>
      </c>
      <c r="D91" s="728" t="s">
        <v>1420</v>
      </c>
      <c r="E91" s="422">
        <v>535000</v>
      </c>
      <c r="G91" s="705"/>
    </row>
    <row r="92" spans="1:7" s="296" customFormat="1">
      <c r="A92" s="727">
        <v>45658</v>
      </c>
      <c r="D92" s="728" t="s">
        <v>1452</v>
      </c>
      <c r="E92" s="422">
        <v>-13139709.449999999</v>
      </c>
      <c r="G92" s="705"/>
    </row>
    <row r="93" spans="1:7" s="296" customFormat="1">
      <c r="A93" s="727">
        <v>46101</v>
      </c>
      <c r="D93" s="728" t="s">
        <v>914</v>
      </c>
      <c r="E93" s="422">
        <v>35000</v>
      </c>
      <c r="G93" s="705"/>
    </row>
    <row r="94" spans="1:7" s="296" customFormat="1">
      <c r="A94" s="727"/>
      <c r="D94" s="728"/>
      <c r="E94" s="422"/>
      <c r="G94" s="705"/>
    </row>
    <row r="95" spans="1:7" s="305" customFormat="1" ht="13.5" thickBot="1">
      <c r="A95" s="303"/>
      <c r="B95" s="304"/>
      <c r="C95" s="304"/>
      <c r="D95" s="324" t="s">
        <v>306</v>
      </c>
      <c r="E95" s="328">
        <f>SUM(E12:E93)</f>
        <v>14597709.449999999</v>
      </c>
    </row>
    <row r="96" spans="1:7" s="296" customFormat="1">
      <c r="E96" s="299"/>
    </row>
    <row r="97" spans="1:7" s="296" customFormat="1">
      <c r="A97" s="1247"/>
      <c r="B97" s="1249"/>
      <c r="C97" s="891"/>
      <c r="D97" s="834" t="s">
        <v>855</v>
      </c>
      <c r="E97" s="841" cm="1">
        <f t="array" ref="E97">IFERROR(INDEX('TB '!$G:$G,MATCH(D97,'TB '!$A:$A,0),0),0)</f>
        <v>14597709.449999999</v>
      </c>
    </row>
    <row r="98" spans="1:7" s="296" customFormat="1">
      <c r="A98" s="1250"/>
      <c r="B98" s="1251"/>
      <c r="C98" s="835"/>
      <c r="D98" s="834" t="s">
        <v>712</v>
      </c>
      <c r="E98" s="921">
        <f>E97-E95</f>
        <v>0</v>
      </c>
      <c r="F98" s="705"/>
    </row>
    <row r="99" spans="1:7" s="296" customFormat="1">
      <c r="E99" s="299"/>
      <c r="G99" s="705"/>
    </row>
    <row r="100" spans="1:7">
      <c r="B100" s="307"/>
      <c r="C100" s="307"/>
      <c r="D100" s="296"/>
      <c r="G100" s="198"/>
    </row>
    <row r="101" spans="1:7">
      <c r="D101" s="296"/>
    </row>
    <row r="102" spans="1:7">
      <c r="D102" s="296"/>
    </row>
    <row r="103" spans="1:7">
      <c r="D103" s="296"/>
    </row>
    <row r="104" spans="1:7">
      <c r="D104" s="296"/>
    </row>
  </sheetData>
  <mergeCells count="4">
    <mergeCell ref="A1:E1"/>
    <mergeCell ref="A2:E2"/>
    <mergeCell ref="A3:E3"/>
    <mergeCell ref="A97:B98"/>
  </mergeCells>
  <pageMargins left="0.7" right="0.7" top="0.75" bottom="0.75" header="0.3" footer="0.3"/>
  <pageSetup orientation="portrait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Sheet56"/>
  <dimension ref="A1:J35"/>
  <sheetViews>
    <sheetView workbookViewId="0">
      <pane ySplit="9" topLeftCell="A10" activePane="bottomLeft" state="frozen"/>
      <selection pane="bottomLeft" activeCell="D23" sqref="D23"/>
    </sheetView>
  </sheetViews>
  <sheetFormatPr defaultRowHeight="12.75"/>
  <cols>
    <col min="1" max="1" width="12.5703125" customWidth="1"/>
    <col min="2" max="2" width="2.5703125" customWidth="1"/>
    <col min="3" max="3" width="13.5703125" hidden="1" customWidth="1"/>
    <col min="4" max="4" width="45.42578125" customWidth="1"/>
    <col min="5" max="5" width="22" customWidth="1"/>
    <col min="7" max="7" width="12.5703125" bestFit="1" customWidth="1"/>
  </cols>
  <sheetData>
    <row r="1" spans="1:10" s="296" customFormat="1" ht="18">
      <c r="A1" s="1179" t="str">
        <f>'Review Comments'!B9</f>
        <v>COCONUT GROVE RETAIL XIII, LLC</v>
      </c>
      <c r="B1" s="1180"/>
      <c r="C1" s="1180"/>
      <c r="D1" s="1180"/>
      <c r="E1" s="1181"/>
    </row>
    <row r="2" spans="1:10" s="296" customFormat="1" ht="18">
      <c r="A2" s="1201" t="s">
        <v>915</v>
      </c>
      <c r="B2" s="1202"/>
      <c r="C2" s="1202"/>
      <c r="D2" s="1202"/>
      <c r="E2" s="1203"/>
    </row>
    <row r="3" spans="1:10" s="296" customFormat="1" ht="18.75" thickBot="1">
      <c r="A3" s="1214" t="str">
        <f>'Review Comments'!B11</f>
        <v>FOR THE MONTH 07/31/2026</v>
      </c>
      <c r="B3" s="1215"/>
      <c r="C3" s="1215"/>
      <c r="D3" s="1215"/>
      <c r="E3" s="1216"/>
    </row>
    <row r="4" spans="1:10" s="296" customFormat="1"/>
    <row r="5" spans="1:10" s="296" customFormat="1"/>
    <row r="6" spans="1:10" s="296" customFormat="1"/>
    <row r="7" spans="1:10" s="296" customFormat="1" ht="13.5" thickBot="1">
      <c r="E7" s="817" t="s">
        <v>916</v>
      </c>
    </row>
    <row r="8" spans="1:10" s="296" customFormat="1" ht="1.5" customHeight="1">
      <c r="A8" s="318"/>
      <c r="B8" s="319"/>
      <c r="C8" s="319"/>
      <c r="D8" s="319"/>
      <c r="E8" s="320"/>
    </row>
    <row r="9" spans="1:10" s="296" customFormat="1" ht="39.75" customHeight="1" thickBot="1">
      <c r="A9" s="321" t="s">
        <v>714</v>
      </c>
      <c r="B9" s="322"/>
      <c r="C9" s="322" t="s">
        <v>544</v>
      </c>
      <c r="D9" s="322" t="s">
        <v>10</v>
      </c>
      <c r="E9" s="323" t="s">
        <v>856</v>
      </c>
      <c r="F9" s="297"/>
      <c r="G9" s="297"/>
      <c r="H9" s="297"/>
      <c r="I9" s="297"/>
      <c r="J9" s="297"/>
    </row>
    <row r="10" spans="1:10" s="296" customFormat="1">
      <c r="A10" s="301"/>
      <c r="E10" s="308"/>
    </row>
    <row r="11" spans="1:10" s="296" customFormat="1">
      <c r="A11" s="420">
        <v>43496</v>
      </c>
      <c r="B11" s="326"/>
      <c r="C11" s="327"/>
      <c r="D11" s="634" t="s">
        <v>917</v>
      </c>
      <c r="E11" s="422">
        <v>-80000</v>
      </c>
    </row>
    <row r="12" spans="1:10" s="296" customFormat="1">
      <c r="A12" s="420">
        <v>43539</v>
      </c>
      <c r="B12" s="326"/>
      <c r="C12" s="327"/>
      <c r="D12" s="634" t="s">
        <v>917</v>
      </c>
      <c r="E12" s="422">
        <v>-200000</v>
      </c>
    </row>
    <row r="13" spans="1:10" s="296" customFormat="1" ht="15" customHeight="1">
      <c r="A13" s="420">
        <v>43578</v>
      </c>
      <c r="B13" s="326"/>
      <c r="C13" s="327"/>
      <c r="D13" s="634" t="s">
        <v>917</v>
      </c>
      <c r="E13" s="422">
        <v>-70000</v>
      </c>
    </row>
    <row r="14" spans="1:10" s="296" customFormat="1" ht="15" customHeight="1">
      <c r="A14" s="420">
        <v>43621</v>
      </c>
      <c r="B14" s="326"/>
      <c r="C14" s="327"/>
      <c r="D14" s="634" t="s">
        <v>917</v>
      </c>
      <c r="E14" s="422">
        <v>-100000</v>
      </c>
    </row>
    <row r="15" spans="1:10" s="296" customFormat="1" ht="15" customHeight="1">
      <c r="A15" s="420">
        <v>43733</v>
      </c>
      <c r="B15" s="326"/>
      <c r="C15" s="327"/>
      <c r="D15" s="634" t="s">
        <v>917</v>
      </c>
      <c r="E15" s="422">
        <v>-350000</v>
      </c>
      <c r="F15" s="296" t="s">
        <v>918</v>
      </c>
    </row>
    <row r="16" spans="1:10" s="296" customFormat="1" ht="15" customHeight="1">
      <c r="A16" s="420">
        <v>44196</v>
      </c>
      <c r="B16" s="326"/>
      <c r="C16" s="327"/>
      <c r="D16" s="424" t="s">
        <v>888</v>
      </c>
      <c r="E16" s="422">
        <v>800000</v>
      </c>
    </row>
    <row r="17" spans="1:7" s="296" customFormat="1">
      <c r="A17" s="420">
        <v>45590</v>
      </c>
      <c r="D17" s="296" t="s">
        <v>919</v>
      </c>
      <c r="E17" s="422">
        <v>-125000</v>
      </c>
    </row>
    <row r="18" spans="1:7" s="296" customFormat="1">
      <c r="A18" s="420">
        <v>45604</v>
      </c>
      <c r="D18" s="634" t="s">
        <v>920</v>
      </c>
      <c r="E18" s="422">
        <v>-97383.2</v>
      </c>
    </row>
    <row r="19" spans="1:7" s="296" customFormat="1">
      <c r="A19" s="420">
        <v>45644</v>
      </c>
      <c r="D19" s="296" t="s">
        <v>919</v>
      </c>
      <c r="E19" s="422">
        <v>-120000</v>
      </c>
    </row>
    <row r="20" spans="1:7" s="305" customFormat="1" ht="13.5" thickBot="1">
      <c r="A20" s="303"/>
      <c r="B20" s="304"/>
      <c r="C20" s="304"/>
      <c r="D20" s="324" t="s">
        <v>306</v>
      </c>
      <c r="E20" s="328">
        <f>SUM(E11:E19)</f>
        <v>-342383.2</v>
      </c>
      <c r="G20" s="700"/>
    </row>
    <row r="21" spans="1:7" s="296" customFormat="1">
      <c r="E21" s="299"/>
    </row>
    <row r="22" spans="1:7" s="296" customFormat="1">
      <c r="A22" s="1247"/>
      <c r="B22" s="1249"/>
      <c r="C22" s="891"/>
      <c r="D22" s="834" t="s">
        <v>916</v>
      </c>
      <c r="E22" s="892" cm="1">
        <f t="array" ref="E22">IFERROR(INDEX('TB '!$G:$G,MATCH(D22,'TB '!$A:$A,0),0),0)</f>
        <v>-342383.2</v>
      </c>
    </row>
    <row r="23" spans="1:7" s="296" customFormat="1">
      <c r="A23" s="1250"/>
      <c r="B23" s="1251"/>
      <c r="C23" s="835"/>
      <c r="D23" s="834" t="s">
        <v>712</v>
      </c>
      <c r="E23" s="847">
        <f>E22-E20</f>
        <v>0</v>
      </c>
    </row>
    <row r="24" spans="1:7" s="296" customFormat="1"/>
    <row r="25" spans="1:7">
      <c r="B25" s="307"/>
      <c r="C25" s="307"/>
      <c r="D25" s="296"/>
    </row>
    <row r="26" spans="1:7">
      <c r="D26" s="296"/>
    </row>
    <row r="27" spans="1:7">
      <c r="D27" s="296"/>
    </row>
    <row r="28" spans="1:7">
      <c r="D28" s="296"/>
    </row>
    <row r="29" spans="1:7">
      <c r="D29" s="296"/>
      <c r="G29" s="292"/>
    </row>
    <row r="30" spans="1:7">
      <c r="G30" s="292"/>
    </row>
    <row r="31" spans="1:7">
      <c r="G31" s="292"/>
    </row>
    <row r="32" spans="1:7">
      <c r="G32" s="292"/>
    </row>
    <row r="33" spans="7:7">
      <c r="G33" s="292"/>
    </row>
    <row r="35" spans="7:7">
      <c r="G35" s="291"/>
    </row>
  </sheetData>
  <mergeCells count="4">
    <mergeCell ref="A1:E1"/>
    <mergeCell ref="A2:E2"/>
    <mergeCell ref="A3:E3"/>
    <mergeCell ref="A22:B23"/>
  </mergeCells>
  <pageMargins left="0.7" right="0.7" top="0.75" bottom="0.75" header="0.3" footer="0.3"/>
  <pageSetup orientation="portrait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Sheet58"/>
  <dimension ref="A1:N47"/>
  <sheetViews>
    <sheetView showGridLines="0" topLeftCell="A4" zoomScaleNormal="100" workbookViewId="0">
      <selection activeCell="B14" sqref="B14"/>
    </sheetView>
  </sheetViews>
  <sheetFormatPr defaultRowHeight="12.75"/>
  <cols>
    <col min="1" max="1" width="16.5703125" customWidth="1"/>
    <col min="2" max="3" width="19.42578125" customWidth="1"/>
    <col min="4" max="5" width="18.5703125" customWidth="1"/>
    <col min="6" max="7" width="17.5703125" customWidth="1"/>
    <col min="8" max="8" width="17.5703125" hidden="1" customWidth="1"/>
    <col min="9" max="9" width="15.5703125" hidden="1" customWidth="1"/>
    <col min="10" max="10" width="7.5703125" hidden="1" customWidth="1"/>
    <col min="11" max="12" width="9.42578125" hidden="1" customWidth="1"/>
    <col min="13" max="13" width="17" hidden="1" customWidth="1"/>
    <col min="14" max="14" width="18.42578125" hidden="1" customWidth="1"/>
    <col min="15" max="15" width="12.5703125" customWidth="1"/>
  </cols>
  <sheetData>
    <row r="1" spans="1:14" s="296" customFormat="1" ht="18">
      <c r="A1" s="1179" t="str">
        <f>'Review Comments'!B9</f>
        <v>COCONUT GROVE RETAIL XIII, LLC</v>
      </c>
      <c r="B1" s="1180"/>
      <c r="C1" s="1180"/>
      <c r="D1" s="1180"/>
      <c r="E1" s="1180"/>
      <c r="F1" s="1180"/>
      <c r="G1" s="1181"/>
    </row>
    <row r="2" spans="1:14" s="296" customFormat="1" ht="18">
      <c r="A2" s="1201" t="s">
        <v>921</v>
      </c>
      <c r="B2" s="1202"/>
      <c r="C2" s="1202"/>
      <c r="D2" s="1202"/>
      <c r="E2" s="1202"/>
      <c r="F2" s="1202"/>
      <c r="G2" s="1203"/>
    </row>
    <row r="3" spans="1:14" s="296" customFormat="1" ht="18.75" thickBot="1">
      <c r="A3" s="1214" t="str">
        <f>'Review Comments'!B11</f>
        <v>FOR THE MONTH 07/31/2026</v>
      </c>
      <c r="B3" s="1215"/>
      <c r="C3" s="1215"/>
      <c r="D3" s="1215"/>
      <c r="E3" s="1215"/>
      <c r="F3" s="1215"/>
      <c r="G3" s="1216"/>
    </row>
    <row r="4" spans="1:14" ht="18.75" customHeight="1"/>
    <row r="5" spans="1:14" ht="13.5" thickBot="1"/>
    <row r="6" spans="1:14" ht="44.25" customHeight="1" thickBot="1">
      <c r="A6" s="329" t="s">
        <v>922</v>
      </c>
      <c r="B6" s="330" t="s">
        <v>923</v>
      </c>
      <c r="C6" s="330" t="s">
        <v>924</v>
      </c>
      <c r="D6" s="330" t="s">
        <v>925</v>
      </c>
      <c r="E6" s="330" t="s">
        <v>926</v>
      </c>
      <c r="F6" s="330" t="s">
        <v>927</v>
      </c>
      <c r="G6" s="332" t="s">
        <v>928</v>
      </c>
      <c r="H6" s="330" t="s">
        <v>929</v>
      </c>
      <c r="I6" s="331" t="s">
        <v>930</v>
      </c>
      <c r="J6" s="15" t="s">
        <v>222</v>
      </c>
      <c r="K6" s="15" t="s">
        <v>223</v>
      </c>
      <c r="L6" s="14"/>
      <c r="M6" s="15" t="s">
        <v>931</v>
      </c>
      <c r="N6" s="15" t="s">
        <v>113</v>
      </c>
    </row>
    <row r="7" spans="1:14" ht="16.5" customHeight="1">
      <c r="A7" s="338"/>
      <c r="B7" s="656"/>
      <c r="C7" s="656"/>
      <c r="D7" s="656"/>
      <c r="E7" s="657"/>
      <c r="F7" s="657"/>
      <c r="G7" s="657"/>
      <c r="H7" s="657">
        <f>B7</f>
        <v>0</v>
      </c>
      <c r="I7" s="658">
        <f>C7</f>
        <v>0</v>
      </c>
      <c r="J7" s="659"/>
      <c r="K7" s="659"/>
      <c r="L7" s="659"/>
      <c r="M7" s="660"/>
      <c r="N7" s="659"/>
    </row>
    <row r="8" spans="1:14" ht="16.5" customHeight="1">
      <c r="A8" s="661">
        <v>42035</v>
      </c>
      <c r="B8" s="660"/>
      <c r="C8" s="660"/>
      <c r="D8" s="660"/>
      <c r="E8" s="411"/>
      <c r="F8" s="411"/>
      <c r="G8" s="411"/>
      <c r="H8" s="411">
        <f t="shared" ref="H8:I11" si="0">H7+B8</f>
        <v>0</v>
      </c>
      <c r="I8" s="662">
        <f t="shared" si="0"/>
        <v>0</v>
      </c>
      <c r="J8" s="659"/>
      <c r="K8" s="659"/>
      <c r="L8" s="659"/>
      <c r="M8" s="662">
        <f>I8*3</f>
        <v>0</v>
      </c>
      <c r="N8" s="662">
        <f>SUM(M8)</f>
        <v>0</v>
      </c>
    </row>
    <row r="9" spans="1:14" ht="16.5" customHeight="1">
      <c r="A9" s="661">
        <v>42063</v>
      </c>
      <c r="B9" s="660"/>
      <c r="C9" s="660"/>
      <c r="D9" s="660"/>
      <c r="E9" s="411"/>
      <c r="F9" s="411"/>
      <c r="G9" s="411"/>
      <c r="H9" s="411">
        <f t="shared" si="0"/>
        <v>0</v>
      </c>
      <c r="I9" s="662">
        <f t="shared" si="0"/>
        <v>0</v>
      </c>
      <c r="J9" s="659"/>
      <c r="K9" s="659"/>
      <c r="L9" s="659"/>
      <c r="M9" s="659"/>
      <c r="N9" s="659"/>
    </row>
    <row r="10" spans="1:14" ht="16.5" customHeight="1">
      <c r="A10" s="661">
        <v>42094</v>
      </c>
      <c r="B10" s="660"/>
      <c r="C10" s="660"/>
      <c r="D10" s="660"/>
      <c r="E10" s="411"/>
      <c r="F10" s="411"/>
      <c r="G10" s="411"/>
      <c r="H10" s="411">
        <f t="shared" si="0"/>
        <v>0</v>
      </c>
      <c r="I10" s="662">
        <f t="shared" si="0"/>
        <v>0</v>
      </c>
      <c r="J10" s="659"/>
      <c r="K10" s="659"/>
      <c r="L10" s="659"/>
      <c r="M10" s="659"/>
      <c r="N10" s="659"/>
    </row>
    <row r="11" spans="1:14" ht="16.5" customHeight="1">
      <c r="A11" s="661">
        <v>42124</v>
      </c>
      <c r="B11" s="660"/>
      <c r="C11" s="660"/>
      <c r="D11" s="660"/>
      <c r="E11" s="411"/>
      <c r="F11" s="411"/>
      <c r="G11" s="411"/>
      <c r="H11" s="663">
        <f t="shared" si="0"/>
        <v>0</v>
      </c>
      <c r="I11" s="664">
        <f t="shared" si="0"/>
        <v>0</v>
      </c>
      <c r="J11" s="659"/>
      <c r="K11" s="659"/>
      <c r="L11" s="659"/>
      <c r="M11" s="659"/>
      <c r="N11" s="659"/>
    </row>
    <row r="12" spans="1:14" ht="16.5" customHeight="1">
      <c r="A12" s="661">
        <v>42155</v>
      </c>
      <c r="B12" s="660"/>
      <c r="C12" s="660"/>
      <c r="D12" s="660"/>
      <c r="E12" s="411"/>
      <c r="F12" s="411"/>
      <c r="G12" s="411"/>
      <c r="H12" s="411"/>
      <c r="I12" s="662"/>
      <c r="J12" s="659"/>
      <c r="K12" s="659"/>
      <c r="L12" s="659"/>
      <c r="M12" s="659"/>
      <c r="N12" s="659"/>
    </row>
    <row r="13" spans="1:14" ht="16.5" customHeight="1">
      <c r="A13" s="661">
        <v>42185</v>
      </c>
      <c r="B13" s="660"/>
      <c r="C13" s="660"/>
      <c r="D13" s="660"/>
      <c r="E13" s="411"/>
      <c r="F13" s="411"/>
      <c r="G13" s="411">
        <v>16895</v>
      </c>
      <c r="H13" s="411"/>
      <c r="I13" s="662"/>
      <c r="J13" s="659"/>
      <c r="K13" s="659"/>
      <c r="L13" s="659"/>
      <c r="M13" s="659"/>
      <c r="N13" s="659"/>
    </row>
    <row r="14" spans="1:14" ht="16.5" customHeight="1">
      <c r="A14" s="661">
        <v>42216</v>
      </c>
      <c r="B14" s="660">
        <v>2626.85</v>
      </c>
      <c r="C14" s="660">
        <v>1204.1199999999999</v>
      </c>
      <c r="D14" s="660">
        <v>973.92</v>
      </c>
      <c r="E14" s="411">
        <f>SUM(B14:D14)</f>
        <v>4804.8899999999994</v>
      </c>
      <c r="F14" s="411"/>
      <c r="G14" s="411">
        <f>-E14</f>
        <v>-4804.8899999999994</v>
      </c>
      <c r="H14" s="411"/>
      <c r="I14" s="662"/>
      <c r="J14" s="659"/>
      <c r="K14" s="659"/>
      <c r="L14" s="659"/>
      <c r="M14" s="659"/>
      <c r="N14" s="659"/>
    </row>
    <row r="15" spans="1:14" ht="16.5" customHeight="1">
      <c r="A15" s="661">
        <v>42247</v>
      </c>
      <c r="B15" s="665"/>
      <c r="C15" s="660"/>
      <c r="D15" s="660"/>
      <c r="E15" s="411"/>
      <c r="F15" s="411"/>
      <c r="G15" s="411"/>
      <c r="H15" s="411"/>
      <c r="I15" s="662"/>
      <c r="J15" s="659"/>
      <c r="K15" s="659"/>
      <c r="L15" s="659"/>
      <c r="M15" s="659"/>
      <c r="N15" s="659"/>
    </row>
    <row r="16" spans="1:14" ht="16.5" customHeight="1">
      <c r="A16" s="661">
        <v>42277</v>
      </c>
      <c r="B16" s="665"/>
      <c r="C16" s="660"/>
      <c r="D16" s="660"/>
      <c r="E16" s="411"/>
      <c r="F16" s="411"/>
      <c r="G16" s="411"/>
      <c r="H16" s="411"/>
      <c r="I16" s="662"/>
      <c r="J16" s="659"/>
      <c r="K16" s="659"/>
      <c r="L16" s="659"/>
      <c r="M16" s="659"/>
      <c r="N16" s="659"/>
    </row>
    <row r="17" spans="1:14" ht="16.5" customHeight="1">
      <c r="A17" s="661">
        <v>42308</v>
      </c>
      <c r="B17" s="665"/>
      <c r="C17" s="660"/>
      <c r="D17" s="660"/>
      <c r="E17" s="411"/>
      <c r="F17" s="411"/>
      <c r="G17" s="411"/>
      <c r="H17" s="411"/>
      <c r="I17" s="662"/>
      <c r="J17" s="659"/>
      <c r="K17" s="659"/>
      <c r="L17" s="659"/>
      <c r="M17" s="666"/>
      <c r="N17" s="666"/>
    </row>
    <row r="18" spans="1:14" ht="16.5" customHeight="1">
      <c r="A18" s="661">
        <v>42338</v>
      </c>
      <c r="B18" s="665"/>
      <c r="C18" s="660"/>
      <c r="D18" s="660"/>
      <c r="E18" s="411"/>
      <c r="F18" s="411"/>
      <c r="G18" s="411"/>
      <c r="H18" s="411"/>
      <c r="I18" s="662"/>
      <c r="J18" s="659"/>
      <c r="K18" s="659"/>
      <c r="L18" s="659"/>
      <c r="M18" s="666"/>
      <c r="N18" s="666"/>
    </row>
    <row r="19" spans="1:14" ht="16.5" customHeight="1">
      <c r="A19" s="661">
        <v>42369</v>
      </c>
      <c r="B19" s="665"/>
      <c r="C19" s="660"/>
      <c r="D19" s="660"/>
      <c r="E19" s="411"/>
      <c r="F19" s="411"/>
      <c r="G19" s="411"/>
      <c r="H19" s="411"/>
      <c r="I19" s="662"/>
      <c r="J19" s="659"/>
      <c r="K19" s="659"/>
      <c r="L19" s="659"/>
      <c r="M19" s="666"/>
      <c r="N19" s="666"/>
    </row>
    <row r="20" spans="1:14" ht="16.5" customHeight="1">
      <c r="A20" s="335"/>
      <c r="B20" s="665"/>
      <c r="C20" s="660"/>
      <c r="D20" s="660"/>
      <c r="E20" s="411"/>
      <c r="F20" s="411"/>
      <c r="G20" s="411"/>
      <c r="H20" s="411"/>
      <c r="I20" s="662"/>
      <c r="J20" s="659"/>
      <c r="K20" s="659"/>
      <c r="L20" s="659"/>
      <c r="M20" s="666"/>
      <c r="N20" s="666"/>
    </row>
    <row r="21" spans="1:14" ht="16.5" customHeight="1">
      <c r="A21" s="335"/>
      <c r="B21" s="665"/>
      <c r="C21" s="660"/>
      <c r="D21" s="660"/>
      <c r="E21" s="411"/>
      <c r="F21" s="411"/>
      <c r="G21" s="411"/>
      <c r="H21" s="411"/>
      <c r="I21" s="662"/>
      <c r="J21" s="659"/>
      <c r="K21" s="659"/>
      <c r="L21" s="659"/>
      <c r="M21" s="666"/>
      <c r="N21" s="666"/>
    </row>
    <row r="22" spans="1:14" ht="16.5" customHeight="1">
      <c r="A22" s="335"/>
      <c r="B22" s="665"/>
      <c r="C22" s="660"/>
      <c r="D22" s="660"/>
      <c r="E22" s="411"/>
      <c r="F22" s="411"/>
      <c r="G22" s="411"/>
      <c r="H22" s="411"/>
      <c r="I22" s="662"/>
      <c r="J22" s="659"/>
      <c r="K22" s="659"/>
      <c r="L22" s="659"/>
      <c r="M22" s="666"/>
      <c r="N22" s="666"/>
    </row>
    <row r="23" spans="1:14" ht="16.5" customHeight="1">
      <c r="A23" s="337"/>
      <c r="B23" s="665"/>
      <c r="C23" s="660"/>
      <c r="D23" s="660"/>
      <c r="E23" s="411"/>
      <c r="F23" s="411"/>
      <c r="G23" s="411"/>
      <c r="H23" s="411"/>
      <c r="I23" s="662"/>
      <c r="J23" s="659"/>
      <c r="K23" s="659"/>
      <c r="L23" s="659"/>
      <c r="M23" s="666"/>
      <c r="N23" s="666"/>
    </row>
    <row r="24" spans="1:14" ht="16.5" customHeight="1">
      <c r="A24" s="335"/>
      <c r="B24" s="665"/>
      <c r="C24" s="660"/>
      <c r="D24" s="660"/>
      <c r="E24" s="411"/>
      <c r="F24" s="411"/>
      <c r="G24" s="411"/>
      <c r="H24" s="411"/>
      <c r="I24" s="662"/>
      <c r="J24" s="659"/>
      <c r="K24" s="659"/>
      <c r="L24" s="659"/>
      <c r="M24" s="666"/>
      <c r="N24" s="666"/>
    </row>
    <row r="25" spans="1:14" ht="16.5" customHeight="1" thickBot="1">
      <c r="A25" s="335"/>
      <c r="B25" s="665"/>
      <c r="C25" s="660"/>
      <c r="D25" s="660"/>
      <c r="E25" s="411"/>
      <c r="F25" s="411"/>
      <c r="G25" s="411"/>
      <c r="H25" s="411"/>
      <c r="I25" s="662"/>
      <c r="J25" s="659"/>
      <c r="K25" s="659"/>
      <c r="L25" s="659"/>
      <c r="M25" s="666"/>
      <c r="N25" s="666"/>
    </row>
    <row r="26" spans="1:14" ht="16.5" customHeight="1" thickBot="1">
      <c r="A26" s="39"/>
      <c r="B26" s="267">
        <f>SUM(B7:B25)</f>
        <v>2626.85</v>
      </c>
      <c r="C26" s="267">
        <f>SUM(C7:C25)</f>
        <v>1204.1199999999999</v>
      </c>
      <c r="D26" s="267">
        <f>SUM(D7:D25)</f>
        <v>973.92</v>
      </c>
      <c r="E26" s="267">
        <f>SUM(E7:E25)</f>
        <v>4804.8899999999994</v>
      </c>
      <c r="F26" s="267">
        <f>SUM(F7:F25)</f>
        <v>0</v>
      </c>
      <c r="G26" s="267">
        <f>SUM(G9:G24)</f>
        <v>12090.11</v>
      </c>
      <c r="H26" s="267">
        <f>H11</f>
        <v>0</v>
      </c>
      <c r="I26" s="267">
        <f>I11</f>
        <v>0</v>
      </c>
      <c r="J26" s="267">
        <f>SUM(J7:J25)</f>
        <v>0</v>
      </c>
      <c r="K26" s="267">
        <f>SUM(K7:K25)</f>
        <v>0</v>
      </c>
      <c r="L26" s="267">
        <f>SUM(L7:L25)</f>
        <v>0</v>
      </c>
      <c r="M26" s="267">
        <f>SUM(M7:M25)</f>
        <v>0</v>
      </c>
      <c r="N26" s="267">
        <f>SUM(N7:N25)</f>
        <v>0</v>
      </c>
    </row>
    <row r="27" spans="1:14" ht="13.5" thickTop="1">
      <c r="I27" s="291"/>
    </row>
    <row r="28" spans="1:14">
      <c r="A28" s="1174"/>
      <c r="B28" s="1174"/>
      <c r="C28" s="1174"/>
      <c r="D28" s="1174"/>
      <c r="E28" s="1174"/>
      <c r="F28" s="1174"/>
      <c r="G28" s="1174"/>
      <c r="H28" s="1174"/>
      <c r="I28" s="1174"/>
    </row>
    <row r="29" spans="1:14">
      <c r="A29" s="333" t="s">
        <v>932</v>
      </c>
    </row>
    <row r="30" spans="1:14">
      <c r="A30" s="333" t="s">
        <v>933</v>
      </c>
      <c r="C30">
        <v>26353.26</v>
      </c>
      <c r="D30">
        <f>C30/311</f>
        <v>84.737170418006428</v>
      </c>
      <c r="E30">
        <f>D30*31</f>
        <v>2626.8522829581993</v>
      </c>
      <c r="M30" s="275"/>
    </row>
    <row r="31" spans="1:14">
      <c r="A31" s="333" t="s">
        <v>934</v>
      </c>
      <c r="C31">
        <v>12080.09</v>
      </c>
      <c r="D31">
        <f>C31/311</f>
        <v>38.842733118971061</v>
      </c>
      <c r="E31">
        <f>D31*31</f>
        <v>1204.124726688103</v>
      </c>
    </row>
    <row r="32" spans="1:14">
      <c r="A32" s="333" t="s">
        <v>935</v>
      </c>
      <c r="C32">
        <v>9770.65</v>
      </c>
      <c r="D32">
        <f>C32/311</f>
        <v>31.416881028938906</v>
      </c>
      <c r="E32">
        <f>D32*31</f>
        <v>973.92331189710615</v>
      </c>
    </row>
    <row r="33" spans="1:5">
      <c r="C33">
        <f>SUM(C30:C32)</f>
        <v>48204</v>
      </c>
      <c r="D33">
        <f>C33/311</f>
        <v>154.99678456591639</v>
      </c>
      <c r="E33">
        <f>D33*31</f>
        <v>4804.9003215434077</v>
      </c>
    </row>
    <row r="36" spans="1:5">
      <c r="A36" s="333">
        <v>5</v>
      </c>
    </row>
    <row r="37" spans="1:5">
      <c r="A37">
        <v>31</v>
      </c>
    </row>
    <row r="38" spans="1:5">
      <c r="A38">
        <v>30</v>
      </c>
    </row>
    <row r="39" spans="1:5">
      <c r="A39">
        <v>31</v>
      </c>
    </row>
    <row r="40" spans="1:5">
      <c r="A40">
        <v>30</v>
      </c>
    </row>
    <row r="41" spans="1:5">
      <c r="A41">
        <v>31</v>
      </c>
    </row>
    <row r="42" spans="1:5">
      <c r="A42">
        <v>31</v>
      </c>
    </row>
    <row r="43" spans="1:5">
      <c r="A43">
        <v>30</v>
      </c>
      <c r="D43" s="200">
        <v>42369</v>
      </c>
      <c r="E43" s="200">
        <v>42060</v>
      </c>
    </row>
    <row r="44" spans="1:5">
      <c r="A44">
        <v>31</v>
      </c>
      <c r="E44" s="412">
        <f>+D43-E43</f>
        <v>309</v>
      </c>
    </row>
    <row r="45" spans="1:5">
      <c r="A45">
        <v>30</v>
      </c>
    </row>
    <row r="46" spans="1:5">
      <c r="A46">
        <v>31</v>
      </c>
    </row>
    <row r="47" spans="1:5">
      <c r="A47">
        <f>SUM(A36:A46)</f>
        <v>311</v>
      </c>
    </row>
  </sheetData>
  <mergeCells count="4">
    <mergeCell ref="A28:I28"/>
    <mergeCell ref="A1:G1"/>
    <mergeCell ref="A2:G2"/>
    <mergeCell ref="A3:G3"/>
  </mergeCells>
  <phoneticPr fontId="23" type="noConversion"/>
  <printOptions horizontalCentered="1"/>
  <pageMargins left="0.75" right="0.27" top="0.75" bottom="0.5" header="0.5" footer="0.5"/>
  <pageSetup scale="83" orientation="landscape" horizontalDpi="4294967292" verticalDpi="4294967292"/>
  <headerFooter alignWithMargins="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Sheet59"/>
  <dimension ref="A1:L31"/>
  <sheetViews>
    <sheetView topLeftCell="A4" workbookViewId="0">
      <selection activeCell="B5" sqref="B5:D10"/>
    </sheetView>
  </sheetViews>
  <sheetFormatPr defaultRowHeight="12.75"/>
  <cols>
    <col min="1" max="1" width="4.5703125" customWidth="1"/>
    <col min="2" max="2" width="17" customWidth="1"/>
    <col min="3" max="3" width="13.42578125" customWidth="1"/>
    <col min="4" max="4" width="13.5703125" customWidth="1"/>
    <col min="5" max="5" width="13.42578125" customWidth="1"/>
    <col min="6" max="6" width="15.42578125" bestFit="1" customWidth="1"/>
    <col min="7" max="7" width="16" customWidth="1"/>
    <col min="8" max="8" width="14.42578125" hidden="1" customWidth="1"/>
    <col min="9" max="9" width="15.5703125" customWidth="1"/>
    <col min="10" max="10" width="11.42578125" bestFit="1" customWidth="1"/>
    <col min="12" max="12" width="11.42578125" bestFit="1" customWidth="1"/>
  </cols>
  <sheetData>
    <row r="1" spans="1:12" ht="18">
      <c r="A1" s="1252" t="str">
        <f>'Review Comments'!B9</f>
        <v>COCONUT GROVE RETAIL XIII, LLC</v>
      </c>
      <c r="B1" s="1253"/>
      <c r="C1" s="1253"/>
      <c r="D1" s="1253"/>
      <c r="E1" s="1253"/>
      <c r="F1" s="1253"/>
      <c r="G1" s="1253"/>
      <c r="H1" s="1254"/>
    </row>
    <row r="2" spans="1:12" ht="18">
      <c r="A2" s="1201" t="s">
        <v>936</v>
      </c>
      <c r="B2" s="1202"/>
      <c r="C2" s="1202"/>
      <c r="D2" s="1202"/>
      <c r="E2" s="1202"/>
      <c r="F2" s="1202"/>
      <c r="G2" s="1202"/>
      <c r="H2" s="1203"/>
    </row>
    <row r="3" spans="1:12" ht="18.75" thickBot="1">
      <c r="A3" s="1255" t="s">
        <v>716</v>
      </c>
      <c r="B3" s="1256"/>
      <c r="C3" s="1256"/>
      <c r="D3" s="1256"/>
      <c r="E3" s="1256"/>
      <c r="F3" s="1256"/>
      <c r="G3" s="1256"/>
      <c r="H3" s="1257"/>
    </row>
    <row r="4" spans="1:12" ht="18">
      <c r="B4" s="446"/>
      <c r="C4" s="436"/>
      <c r="D4" s="447"/>
      <c r="E4" s="447"/>
      <c r="F4" s="447"/>
      <c r="G4" s="296"/>
      <c r="H4" s="296"/>
    </row>
    <row r="5" spans="1:12">
      <c r="B5" s="684" t="s">
        <v>937</v>
      </c>
      <c r="C5" s="448"/>
      <c r="D5" s="449"/>
      <c r="E5" s="449"/>
      <c r="F5" s="684"/>
      <c r="G5" s="448"/>
      <c r="H5" s="449"/>
    </row>
    <row r="6" spans="1:12" ht="15" customHeight="1">
      <c r="B6" s="5"/>
      <c r="C6" s="451" t="s">
        <v>938</v>
      </c>
      <c r="D6" s="452" t="s">
        <v>939</v>
      </c>
      <c r="E6" s="448"/>
      <c r="F6" s="450"/>
      <c r="G6" s="333"/>
      <c r="H6" s="448"/>
      <c r="K6" s="450"/>
      <c r="L6" s="333"/>
    </row>
    <row r="7" spans="1:12">
      <c r="B7" s="555" t="s">
        <v>940</v>
      </c>
      <c r="C7" s="453">
        <f>17208.93+942.92</f>
        <v>18151.849999999999</v>
      </c>
      <c r="D7" s="454">
        <f>C7/12</f>
        <v>1512.6541666666665</v>
      </c>
      <c r="E7" s="454"/>
      <c r="F7" s="454"/>
      <c r="H7" s="454"/>
      <c r="K7" s="454"/>
    </row>
    <row r="8" spans="1:12">
      <c r="B8" s="555" t="s">
        <v>941</v>
      </c>
      <c r="C8" s="453">
        <v>4305.53</v>
      </c>
      <c r="D8" s="454">
        <f>C8/12</f>
        <v>358.79416666666663</v>
      </c>
      <c r="E8" s="454"/>
      <c r="F8" s="454"/>
      <c r="H8" s="454"/>
      <c r="K8" s="454"/>
    </row>
    <row r="9" spans="1:12">
      <c r="B9" s="555" t="s">
        <v>942</v>
      </c>
      <c r="C9" s="453">
        <v>3646.94</v>
      </c>
      <c r="D9" s="454">
        <f>C9/12</f>
        <v>303.91166666666669</v>
      </c>
      <c r="E9" s="454"/>
      <c r="F9" s="454"/>
      <c r="H9" s="454"/>
      <c r="K9" s="454"/>
    </row>
    <row r="10" spans="1:12" ht="13.5" thickBot="1">
      <c r="B10" s="5" t="s">
        <v>62</v>
      </c>
      <c r="C10" s="456">
        <f>SUM(C7:C9)</f>
        <v>26104.319999999996</v>
      </c>
      <c r="D10" s="456">
        <f>SUM(D7:D9)</f>
        <v>2175.3599999999997</v>
      </c>
      <c r="E10" s="448"/>
      <c r="F10" s="5"/>
      <c r="G10" s="448"/>
      <c r="H10" s="448"/>
    </row>
    <row r="11" spans="1:12" ht="13.5" thickTop="1">
      <c r="B11" s="296"/>
      <c r="C11" s="436"/>
      <c r="D11" s="447"/>
      <c r="E11" s="447"/>
      <c r="F11" s="447"/>
      <c r="G11" s="296"/>
      <c r="H11" s="296"/>
    </row>
    <row r="12" spans="1:12">
      <c r="B12" s="296"/>
      <c r="C12" s="436"/>
      <c r="D12" s="447"/>
      <c r="E12" s="447"/>
      <c r="F12" s="447"/>
      <c r="G12" s="296"/>
      <c r="H12" s="296"/>
    </row>
    <row r="13" spans="1:12" ht="38.25">
      <c r="A13" s="457"/>
      <c r="B13" s="458"/>
      <c r="C13" s="459" t="s">
        <v>943</v>
      </c>
      <c r="D13" s="460" t="s">
        <v>944</v>
      </c>
      <c r="E13" s="460" t="s">
        <v>945</v>
      </c>
      <c r="F13" s="460" t="s">
        <v>946</v>
      </c>
      <c r="G13" s="458" t="s">
        <v>947</v>
      </c>
      <c r="H13" s="461" t="s">
        <v>948</v>
      </c>
      <c r="I13" s="461" t="s">
        <v>949</v>
      </c>
    </row>
    <row r="14" spans="1:12">
      <c r="A14" s="462"/>
      <c r="B14" s="463" t="s">
        <v>950</v>
      </c>
      <c r="C14" s="463">
        <v>60111</v>
      </c>
      <c r="D14" s="463">
        <v>60112</v>
      </c>
      <c r="E14" s="463">
        <v>60131</v>
      </c>
      <c r="F14" s="463">
        <v>60145</v>
      </c>
      <c r="G14" s="464"/>
      <c r="H14" s="465">
        <v>20500</v>
      </c>
      <c r="I14" s="465">
        <v>13110</v>
      </c>
    </row>
    <row r="15" spans="1:12">
      <c r="B15" s="436"/>
      <c r="C15" s="436"/>
      <c r="D15" s="449"/>
      <c r="E15" s="449"/>
      <c r="F15" s="449"/>
      <c r="G15" s="296"/>
      <c r="H15" s="296"/>
    </row>
    <row r="16" spans="1:12">
      <c r="B16" s="436"/>
      <c r="C16" s="436"/>
      <c r="D16" s="449"/>
      <c r="E16" s="449"/>
      <c r="F16" s="449"/>
      <c r="G16" s="296"/>
      <c r="H16" s="296"/>
      <c r="I16" s="292"/>
    </row>
    <row r="17" spans="2:12">
      <c r="B17" s="466">
        <v>42736</v>
      </c>
      <c r="C17" s="467">
        <f>D7</f>
        <v>1512.6541666666665</v>
      </c>
      <c r="D17" s="467">
        <f>D8</f>
        <v>358.79416666666663</v>
      </c>
      <c r="E17" s="467">
        <f>D9</f>
        <v>303.91166666666669</v>
      </c>
      <c r="F17" s="467"/>
      <c r="G17" s="404">
        <f t="shared" ref="G17:G26" si="0">SUM(C17:F17)</f>
        <v>2175.3599999999997</v>
      </c>
      <c r="H17" s="469"/>
    </row>
    <row r="18" spans="2:12" ht="13.5" customHeight="1">
      <c r="B18" s="466">
        <f>+B17+31</f>
        <v>42767</v>
      </c>
      <c r="C18" s="467"/>
      <c r="D18" s="467"/>
      <c r="E18" s="467"/>
      <c r="F18" s="467"/>
      <c r="G18" s="404">
        <f t="shared" si="0"/>
        <v>0</v>
      </c>
      <c r="H18" s="469"/>
      <c r="I18" s="292"/>
    </row>
    <row r="19" spans="2:12">
      <c r="B19" s="466">
        <f t="shared" ref="B19:B28" si="1">+B18+31</f>
        <v>42798</v>
      </c>
      <c r="C19" s="467"/>
      <c r="D19" s="467"/>
      <c r="E19" s="467"/>
      <c r="F19" s="467"/>
      <c r="G19" s="404">
        <f t="shared" si="0"/>
        <v>0</v>
      </c>
      <c r="H19" s="469"/>
      <c r="I19" s="292"/>
    </row>
    <row r="20" spans="2:12">
      <c r="B20" s="466">
        <f t="shared" si="1"/>
        <v>42829</v>
      </c>
      <c r="C20" s="467"/>
      <c r="D20" s="467"/>
      <c r="E20" s="467"/>
      <c r="F20" s="467"/>
      <c r="G20" s="404">
        <f t="shared" si="0"/>
        <v>0</v>
      </c>
      <c r="H20" s="469"/>
      <c r="I20" s="292"/>
    </row>
    <row r="21" spans="2:12" s="333" customFormat="1">
      <c r="B21" s="466">
        <f t="shared" si="1"/>
        <v>42860</v>
      </c>
      <c r="C21" s="467"/>
      <c r="D21" s="467"/>
      <c r="E21" s="467"/>
      <c r="F21" s="467"/>
      <c r="G21" s="404">
        <f t="shared" si="0"/>
        <v>0</v>
      </c>
      <c r="H21" s="469"/>
      <c r="I21" s="292"/>
    </row>
    <row r="22" spans="2:12">
      <c r="B22" s="466">
        <f t="shared" si="1"/>
        <v>42891</v>
      </c>
      <c r="C22" s="467"/>
      <c r="D22" s="467"/>
      <c r="E22" s="467"/>
      <c r="F22" s="467"/>
      <c r="G22" s="404">
        <f t="shared" si="0"/>
        <v>0</v>
      </c>
      <c r="H22" s="469"/>
      <c r="I22" s="410"/>
    </row>
    <row r="23" spans="2:12">
      <c r="B23" s="466">
        <f>+B22+31-2</f>
        <v>42920</v>
      </c>
      <c r="C23" s="467"/>
      <c r="D23" s="467"/>
      <c r="E23" s="467"/>
      <c r="F23" s="467"/>
      <c r="G23" s="404">
        <f t="shared" si="0"/>
        <v>0</v>
      </c>
      <c r="H23" s="469"/>
      <c r="I23" s="410"/>
    </row>
    <row r="24" spans="2:12">
      <c r="B24" s="466">
        <f t="shared" si="1"/>
        <v>42951</v>
      </c>
      <c r="C24" s="467"/>
      <c r="D24" s="467"/>
      <c r="E24" s="467"/>
      <c r="F24" s="467"/>
      <c r="G24" s="404">
        <f t="shared" si="0"/>
        <v>0</v>
      </c>
      <c r="H24" s="469"/>
      <c r="I24" s="410"/>
    </row>
    <row r="25" spans="2:12">
      <c r="B25" s="466">
        <f t="shared" si="1"/>
        <v>42982</v>
      </c>
      <c r="C25" s="467"/>
      <c r="D25" s="467"/>
      <c r="E25" s="467"/>
      <c r="F25" s="467"/>
      <c r="G25" s="404">
        <f t="shared" si="0"/>
        <v>0</v>
      </c>
      <c r="H25" s="469"/>
      <c r="I25" s="410"/>
    </row>
    <row r="26" spans="2:12">
      <c r="B26" s="466">
        <f t="shared" si="1"/>
        <v>43013</v>
      </c>
      <c r="C26" s="467"/>
      <c r="D26" s="467"/>
      <c r="E26" s="467"/>
      <c r="F26" s="467"/>
      <c r="G26" s="404">
        <f t="shared" si="0"/>
        <v>0</v>
      </c>
      <c r="H26" s="469"/>
      <c r="I26" s="410"/>
    </row>
    <row r="27" spans="2:12">
      <c r="B27" s="466">
        <f t="shared" si="1"/>
        <v>43044</v>
      </c>
      <c r="C27" s="467"/>
      <c r="D27" s="467"/>
      <c r="E27" s="467"/>
      <c r="F27" s="467"/>
      <c r="G27" s="404"/>
      <c r="H27" s="469"/>
      <c r="I27" s="410"/>
    </row>
    <row r="28" spans="2:12" s="333" customFormat="1" ht="13.5" customHeight="1">
      <c r="B28" s="466">
        <f t="shared" si="1"/>
        <v>43075</v>
      </c>
      <c r="C28" s="467"/>
      <c r="D28" s="467"/>
      <c r="E28" s="467"/>
      <c r="F28" s="467"/>
      <c r="G28" s="404"/>
      <c r="H28" s="469"/>
      <c r="I28" s="410"/>
    </row>
    <row r="29" spans="2:12" ht="13.5" customHeight="1">
      <c r="B29" s="466"/>
      <c r="C29" s="467"/>
      <c r="D29" s="404"/>
      <c r="E29" s="404"/>
      <c r="F29" s="404"/>
      <c r="G29" s="404"/>
      <c r="H29" s="471"/>
    </row>
    <row r="30" spans="2:12" ht="13.5" thickBot="1">
      <c r="B30" s="472" t="s">
        <v>951</v>
      </c>
      <c r="C30" s="473">
        <f>SUM(C17:C29)</f>
        <v>1512.6541666666665</v>
      </c>
      <c r="D30" s="473">
        <f>SUM(D17:D29)</f>
        <v>358.79416666666663</v>
      </c>
      <c r="E30" s="473">
        <f>SUM(E17:E29)</f>
        <v>303.91166666666669</v>
      </c>
      <c r="F30" s="473"/>
      <c r="G30" s="473">
        <f>SUM(G17:G29)</f>
        <v>2175.3599999999997</v>
      </c>
      <c r="H30" s="473">
        <f>SUM(H17:H22)</f>
        <v>0</v>
      </c>
      <c r="I30" s="473">
        <f>SUM(I16:I29)</f>
        <v>0</v>
      </c>
      <c r="J30" s="292"/>
      <c r="L30" s="292"/>
    </row>
    <row r="31" spans="2:12" ht="13.5" thickTop="1">
      <c r="B31" s="466"/>
      <c r="C31" s="474"/>
      <c r="D31" s="474"/>
      <c r="E31" s="474"/>
      <c r="F31" s="474"/>
      <c r="G31" s="474"/>
      <c r="H31" s="681"/>
    </row>
  </sheetData>
  <mergeCells count="3">
    <mergeCell ref="A1:H1"/>
    <mergeCell ref="A2:H2"/>
    <mergeCell ref="A3:H3"/>
  </mergeCell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 codeName="Sheet60"/>
  <dimension ref="A3:B12"/>
  <sheetViews>
    <sheetView workbookViewId="0">
      <selection activeCell="A16" sqref="A16"/>
    </sheetView>
  </sheetViews>
  <sheetFormatPr defaultRowHeight="12.75"/>
  <cols>
    <col min="1" max="1" width="15.5703125" bestFit="1" customWidth="1"/>
    <col min="2" max="2" width="13.5703125" customWidth="1"/>
  </cols>
  <sheetData>
    <row r="3" spans="1:2">
      <c r="A3" t="s">
        <v>952</v>
      </c>
      <c r="B3" s="377">
        <v>173537.29</v>
      </c>
    </row>
    <row r="4" spans="1:2">
      <c r="B4" s="376"/>
    </row>
    <row r="5" spans="1:2">
      <c r="A5" t="s">
        <v>953</v>
      </c>
      <c r="B5" s="377">
        <v>-51119.199999999997</v>
      </c>
    </row>
    <row r="6" spans="1:2">
      <c r="A6" s="2"/>
      <c r="B6" s="2"/>
    </row>
    <row r="8" spans="1:2" ht="13.5" thickBot="1">
      <c r="B8" s="378">
        <f>SUM(B3:B5)</f>
        <v>122418.09000000001</v>
      </c>
    </row>
    <row r="9" spans="1:2" ht="13.5" thickTop="1"/>
    <row r="11" spans="1:2" ht="13.5" thickBot="1">
      <c r="A11" t="s">
        <v>954</v>
      </c>
      <c r="B11" s="378">
        <v>122418.09</v>
      </c>
    </row>
    <row r="12" spans="1:2" ht="13.5" thickTop="1"/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 codeName="Sheet61"/>
  <dimension ref="A1:H3"/>
  <sheetViews>
    <sheetView workbookViewId="0">
      <selection activeCell="C18" sqref="C18"/>
    </sheetView>
  </sheetViews>
  <sheetFormatPr defaultRowHeight="12.75"/>
  <cols>
    <col min="2" max="2" width="13.42578125" bestFit="1" customWidth="1"/>
    <col min="3" max="4" width="11.42578125" bestFit="1" customWidth="1"/>
    <col min="5" max="5" width="9.5703125" bestFit="1" customWidth="1"/>
  </cols>
  <sheetData>
    <row r="1" spans="1:8" s="293" customFormat="1" ht="13.5" thickBot="1">
      <c r="A1" s="294" t="s">
        <v>955</v>
      </c>
      <c r="B1" s="295" t="s">
        <v>270</v>
      </c>
      <c r="C1" s="295" t="s">
        <v>956</v>
      </c>
      <c r="D1" s="295" t="s">
        <v>957</v>
      </c>
      <c r="E1" s="295" t="s">
        <v>958</v>
      </c>
      <c r="F1" s="295"/>
      <c r="G1" s="295" t="s">
        <v>959</v>
      </c>
      <c r="H1" s="295"/>
    </row>
    <row r="3" spans="1:8">
      <c r="A3" s="684">
        <v>40100</v>
      </c>
      <c r="B3" t="s">
        <v>960</v>
      </c>
      <c r="C3" s="292">
        <v>105632.61</v>
      </c>
      <c r="D3" s="292">
        <v>107484</v>
      </c>
      <c r="E3" s="292">
        <f>C3-D3</f>
        <v>-1851.3899999999994</v>
      </c>
      <c r="G3" t="s">
        <v>961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 codeName="Sheet62"/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 codeName="Sheet63">
    <pageSetUpPr fitToPage="1"/>
  </sheetPr>
  <dimension ref="A1:K41"/>
  <sheetViews>
    <sheetView workbookViewId="0">
      <selection activeCell="L15" sqref="L15"/>
    </sheetView>
  </sheetViews>
  <sheetFormatPr defaultRowHeight="12.75"/>
  <cols>
    <col min="1" max="1" width="4.5703125" customWidth="1"/>
    <col min="2" max="2" width="17" customWidth="1"/>
    <col min="3" max="3" width="16.42578125" customWidth="1"/>
    <col min="4" max="4" width="15.5703125" customWidth="1"/>
    <col min="5" max="5" width="16.42578125" customWidth="1"/>
    <col min="6" max="6" width="14.5703125" customWidth="1"/>
    <col min="7" max="7" width="13.5703125" customWidth="1"/>
    <col min="8" max="8" width="16.42578125" customWidth="1"/>
  </cols>
  <sheetData>
    <row r="1" spans="1:8" ht="18">
      <c r="A1" s="1252" t="str">
        <f>'Review Comments'!B9</f>
        <v>COCONUT GROVE RETAIL XIII, LLC</v>
      </c>
      <c r="B1" s="1253"/>
      <c r="C1" s="1253"/>
      <c r="D1" s="1253"/>
      <c r="E1" s="1253"/>
      <c r="F1" s="1253"/>
      <c r="G1" s="1253"/>
      <c r="H1" s="1254"/>
    </row>
    <row r="2" spans="1:8" ht="18">
      <c r="A2" s="1201" t="s">
        <v>962</v>
      </c>
      <c r="B2" s="1202"/>
      <c r="C2" s="1202"/>
      <c r="D2" s="1202"/>
      <c r="E2" s="1202"/>
      <c r="F2" s="1202"/>
      <c r="G2" s="1202"/>
      <c r="H2" s="1203"/>
    </row>
    <row r="3" spans="1:8" ht="18.75" thickBot="1">
      <c r="A3" s="1255" t="s">
        <v>716</v>
      </c>
      <c r="B3" s="1256"/>
      <c r="C3" s="1256"/>
      <c r="D3" s="1256"/>
      <c r="E3" s="1256"/>
      <c r="F3" s="1256"/>
      <c r="G3" s="1256"/>
      <c r="H3" s="1257"/>
    </row>
    <row r="4" spans="1:8" ht="18">
      <c r="B4" s="446"/>
      <c r="C4" s="436"/>
      <c r="D4" s="436"/>
      <c r="E4" s="447"/>
      <c r="F4" s="296"/>
      <c r="G4" s="296"/>
      <c r="H4" s="296"/>
    </row>
    <row r="5" spans="1:8">
      <c r="B5" s="684"/>
      <c r="C5" s="448"/>
      <c r="D5" s="448"/>
      <c r="E5" s="449"/>
      <c r="F5" s="296"/>
      <c r="G5" s="296"/>
      <c r="H5" s="296"/>
    </row>
    <row r="6" spans="1:8" ht="15" customHeight="1">
      <c r="B6" s="5"/>
      <c r="C6" s="566"/>
      <c r="D6" s="450"/>
      <c r="E6" s="448"/>
      <c r="F6" s="448"/>
      <c r="G6" s="296"/>
      <c r="H6" s="296"/>
    </row>
    <row r="7" spans="1:8">
      <c r="B7" s="684"/>
      <c r="C7" s="453"/>
      <c r="D7" s="453"/>
      <c r="E7" s="454"/>
      <c r="F7" s="454"/>
      <c r="G7" s="454"/>
      <c r="H7" s="296"/>
    </row>
    <row r="8" spans="1:8">
      <c r="B8" s="684"/>
      <c r="C8" s="567"/>
      <c r="D8" s="567"/>
      <c r="E8" s="454"/>
      <c r="F8" s="454"/>
      <c r="G8" s="454"/>
      <c r="H8" s="455"/>
    </row>
    <row r="9" spans="1:8">
      <c r="B9" s="5"/>
      <c r="C9" s="448"/>
      <c r="D9" s="448"/>
      <c r="E9" s="448"/>
      <c r="F9" s="448"/>
      <c r="G9" s="296"/>
      <c r="H9" s="296"/>
    </row>
    <row r="10" spans="1:8">
      <c r="B10" s="296"/>
      <c r="C10" s="436"/>
      <c r="D10" s="436"/>
      <c r="E10" s="447"/>
      <c r="F10" s="296"/>
      <c r="G10" s="296"/>
      <c r="H10" s="296"/>
    </row>
    <row r="11" spans="1:8">
      <c r="B11" s="296"/>
      <c r="C11" s="436"/>
      <c r="D11" s="436"/>
      <c r="E11" s="447"/>
      <c r="F11" s="296"/>
      <c r="G11" s="296"/>
      <c r="H11" s="296"/>
    </row>
    <row r="12" spans="1:8" ht="25.5">
      <c r="A12" s="457"/>
      <c r="B12" s="458" t="s">
        <v>950</v>
      </c>
      <c r="C12" s="568" t="s">
        <v>963</v>
      </c>
      <c r="D12" s="568" t="s">
        <v>963</v>
      </c>
      <c r="E12" s="569" t="s">
        <v>964</v>
      </c>
      <c r="F12" s="569" t="s">
        <v>947</v>
      </c>
      <c r="G12" s="569" t="s">
        <v>965</v>
      </c>
      <c r="H12" s="570" t="s">
        <v>966</v>
      </c>
    </row>
    <row r="13" spans="1:8">
      <c r="A13" s="462"/>
      <c r="B13" s="571"/>
      <c r="C13" s="571">
        <v>54000</v>
      </c>
      <c r="D13" s="571" t="s">
        <v>967</v>
      </c>
      <c r="E13" s="572">
        <v>54000</v>
      </c>
      <c r="F13" s="572">
        <v>54000</v>
      </c>
      <c r="G13" s="572">
        <v>13120</v>
      </c>
      <c r="H13" s="573">
        <v>20200</v>
      </c>
    </row>
    <row r="14" spans="1:8">
      <c r="B14" s="436"/>
      <c r="C14" s="436"/>
      <c r="D14" s="436"/>
      <c r="E14" s="449"/>
      <c r="F14" s="296"/>
      <c r="G14" s="296"/>
      <c r="H14" s="296"/>
    </row>
    <row r="15" spans="1:8">
      <c r="B15" s="466">
        <v>42736</v>
      </c>
      <c r="C15" s="467"/>
      <c r="D15" s="467"/>
      <c r="E15" s="467"/>
      <c r="F15" s="404">
        <f>C15</f>
        <v>0</v>
      </c>
      <c r="G15" s="468"/>
      <c r="H15" s="469">
        <f>-F15</f>
        <v>0</v>
      </c>
    </row>
    <row r="16" spans="1:8" ht="13.5" customHeight="1">
      <c r="B16" s="466">
        <f t="shared" ref="B16:B26" si="0">+B15+31</f>
        <v>42767</v>
      </c>
      <c r="C16" s="467"/>
      <c r="D16" s="467"/>
      <c r="E16" s="467"/>
      <c r="F16" s="404"/>
      <c r="G16" s="468"/>
      <c r="H16" s="469"/>
    </row>
    <row r="17" spans="2:11">
      <c r="B17" s="466">
        <f t="shared" si="0"/>
        <v>42798</v>
      </c>
      <c r="C17" s="467"/>
      <c r="D17" s="467"/>
      <c r="E17" s="467"/>
      <c r="F17" s="404"/>
      <c r="G17" s="468"/>
      <c r="H17" s="469"/>
    </row>
    <row r="18" spans="2:11">
      <c r="B18" s="466">
        <f t="shared" si="0"/>
        <v>42829</v>
      </c>
      <c r="C18" s="467"/>
      <c r="D18" s="467"/>
      <c r="E18" s="467"/>
      <c r="F18" s="404"/>
      <c r="G18" s="468"/>
      <c r="H18" s="469"/>
    </row>
    <row r="19" spans="2:11" s="333" customFormat="1">
      <c r="B19" s="466">
        <f t="shared" si="0"/>
        <v>42860</v>
      </c>
      <c r="C19" s="467"/>
      <c r="D19" s="467"/>
      <c r="E19" s="467"/>
      <c r="F19" s="404"/>
      <c r="G19" s="468"/>
      <c r="H19" s="469"/>
    </row>
    <row r="20" spans="2:11">
      <c r="B20" s="466">
        <f>+B19+31</f>
        <v>42891</v>
      </c>
      <c r="C20" s="467"/>
      <c r="D20" s="467"/>
      <c r="E20" s="467"/>
      <c r="F20" s="404"/>
      <c r="G20" s="468"/>
      <c r="H20" s="469"/>
    </row>
    <row r="21" spans="2:11">
      <c r="B21" s="466">
        <f t="shared" si="0"/>
        <v>42922</v>
      </c>
      <c r="C21" s="467"/>
      <c r="D21" s="467"/>
      <c r="E21" s="467"/>
      <c r="F21" s="404"/>
      <c r="G21" s="470"/>
      <c r="H21" s="469"/>
    </row>
    <row r="22" spans="2:11">
      <c r="B22" s="466">
        <f t="shared" si="0"/>
        <v>42953</v>
      </c>
      <c r="C22" s="467"/>
      <c r="D22" s="467"/>
      <c r="E22" s="467"/>
      <c r="F22" s="404"/>
      <c r="G22" s="470"/>
      <c r="H22" s="469"/>
    </row>
    <row r="23" spans="2:11">
      <c r="B23" s="466">
        <f t="shared" si="0"/>
        <v>42984</v>
      </c>
      <c r="C23" s="467"/>
      <c r="D23" s="467"/>
      <c r="E23" s="467"/>
      <c r="F23" s="404"/>
      <c r="G23" s="470"/>
      <c r="H23" s="469"/>
    </row>
    <row r="24" spans="2:11">
      <c r="B24" s="466">
        <f>+B23+31</f>
        <v>43015</v>
      </c>
      <c r="C24" s="467"/>
      <c r="D24" s="467"/>
      <c r="E24" s="467"/>
      <c r="F24" s="404"/>
      <c r="G24" s="470"/>
      <c r="H24" s="469"/>
    </row>
    <row r="25" spans="2:11">
      <c r="B25" s="466">
        <f t="shared" si="0"/>
        <v>43046</v>
      </c>
      <c r="C25" s="467"/>
      <c r="D25" s="467"/>
      <c r="E25" s="467"/>
      <c r="F25" s="404"/>
      <c r="G25" s="470"/>
      <c r="H25" s="469"/>
    </row>
    <row r="26" spans="2:11" s="333" customFormat="1" ht="13.5" customHeight="1">
      <c r="B26" s="466">
        <f t="shared" si="0"/>
        <v>43077</v>
      </c>
      <c r="C26" s="467"/>
      <c r="D26" s="467"/>
      <c r="E26" s="467"/>
      <c r="F26" s="404"/>
      <c r="G26" s="470"/>
      <c r="H26" s="469"/>
    </row>
    <row r="27" spans="2:11" ht="13.5" customHeight="1">
      <c r="B27" s="466"/>
      <c r="C27" s="467"/>
      <c r="D27" s="467"/>
      <c r="E27" s="404"/>
      <c r="F27" s="404"/>
      <c r="G27" s="455"/>
      <c r="H27" s="471"/>
    </row>
    <row r="28" spans="2:11" ht="13.5" customHeight="1">
      <c r="B28" s="466"/>
      <c r="C28" s="467"/>
      <c r="D28" s="467"/>
      <c r="E28" s="404"/>
      <c r="F28" s="404"/>
      <c r="G28" s="455"/>
      <c r="H28" s="471"/>
      <c r="K28" t="s">
        <v>22</v>
      </c>
    </row>
    <row r="29" spans="2:11" ht="13.5" thickBot="1">
      <c r="B29" s="472" t="s">
        <v>951</v>
      </c>
      <c r="C29" s="473">
        <f>SUM(C15:C28)-0.03</f>
        <v>-0.03</v>
      </c>
      <c r="D29" s="473">
        <f>D18</f>
        <v>0</v>
      </c>
      <c r="E29" s="473">
        <f>E15</f>
        <v>0</v>
      </c>
      <c r="F29" s="473">
        <f>SUM(F15:F28)-0.03</f>
        <v>-0.03</v>
      </c>
      <c r="G29" s="473">
        <f>G20</f>
        <v>0</v>
      </c>
      <c r="H29" s="473">
        <f>H15</f>
        <v>0</v>
      </c>
    </row>
    <row r="30" spans="2:11" ht="13.5" thickTop="1">
      <c r="B30" s="466"/>
      <c r="C30" s="474"/>
      <c r="D30" s="474"/>
      <c r="E30" s="474"/>
      <c r="F30" s="474"/>
      <c r="G30" s="681"/>
      <c r="H30" s="681"/>
    </row>
    <row r="31" spans="2:11" ht="13.5" customHeight="1" thickBot="1">
      <c r="B31" s="466"/>
      <c r="C31" s="467"/>
      <c r="D31" s="467"/>
      <c r="E31" s="404"/>
      <c r="F31" s="404"/>
      <c r="G31" s="455"/>
      <c r="H31" s="471"/>
    </row>
    <row r="32" spans="2:11" ht="13.5" thickBot="1">
      <c r="B32" s="574" t="s">
        <v>968</v>
      </c>
      <c r="C32" s="575" t="s">
        <v>969</v>
      </c>
      <c r="D32" s="576" t="s">
        <v>970</v>
      </c>
      <c r="E32" s="577"/>
      <c r="F32" s="410"/>
      <c r="G32" s="410"/>
      <c r="H32" s="410"/>
    </row>
    <row r="33" spans="2:5">
      <c r="B33" s="578" t="s">
        <v>971</v>
      </c>
      <c r="C33" s="292"/>
      <c r="D33" s="579">
        <f>C33/12</f>
        <v>0</v>
      </c>
      <c r="E33" s="292"/>
    </row>
    <row r="34" spans="2:5">
      <c r="B34" s="578" t="s">
        <v>972</v>
      </c>
      <c r="C34" s="292"/>
      <c r="D34" s="579">
        <f>C34/12</f>
        <v>0</v>
      </c>
      <c r="E34" s="292"/>
    </row>
    <row r="35" spans="2:5">
      <c r="B35" s="578" t="s">
        <v>973</v>
      </c>
      <c r="C35" s="292"/>
      <c r="D35" s="579">
        <f>C35/12</f>
        <v>0</v>
      </c>
      <c r="E35" s="292"/>
    </row>
    <row r="36" spans="2:5">
      <c r="B36" s="578" t="s">
        <v>974</v>
      </c>
      <c r="C36" s="292"/>
      <c r="D36" s="579">
        <f>C36/12</f>
        <v>0</v>
      </c>
      <c r="E36" s="292"/>
    </row>
    <row r="37" spans="2:5">
      <c r="C37" s="292"/>
      <c r="D37" s="292"/>
    </row>
    <row r="38" spans="2:5" ht="13.5" thickBot="1">
      <c r="B38" s="580" t="s">
        <v>62</v>
      </c>
      <c r="C38" s="581">
        <f>SUM(C33:C37)</f>
        <v>0</v>
      </c>
      <c r="D38" s="581">
        <f>SUM(D32:D36)</f>
        <v>0</v>
      </c>
      <c r="E38" s="473">
        <f>C38/12</f>
        <v>0</v>
      </c>
    </row>
    <row r="39" spans="2:5" ht="13.5" thickTop="1"/>
    <row r="41" spans="2:5">
      <c r="C41" s="291">
        <f>C38/2</f>
        <v>0</v>
      </c>
    </row>
  </sheetData>
  <mergeCells count="3">
    <mergeCell ref="A1:H1"/>
    <mergeCell ref="A2:H2"/>
    <mergeCell ref="A3:H3"/>
  </mergeCells>
  <pageMargins left="0.7" right="0.7" top="0.75" bottom="0.75" header="0.3" footer="0.3"/>
  <pageSetup scale="10" orientation="portrait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Sheet57"/>
  <dimension ref="A1:J27"/>
  <sheetViews>
    <sheetView workbookViewId="0">
      <selection activeCell="J23" sqref="J23"/>
    </sheetView>
  </sheetViews>
  <sheetFormatPr defaultRowHeight="12.75"/>
  <cols>
    <col min="1" max="1" width="12.5703125" customWidth="1"/>
    <col min="2" max="2" width="2.5703125" customWidth="1"/>
    <col min="3" max="3" width="13.5703125" hidden="1" customWidth="1"/>
    <col min="4" max="4" width="45.42578125" customWidth="1"/>
    <col min="5" max="5" width="22" customWidth="1"/>
  </cols>
  <sheetData>
    <row r="1" spans="1:10" s="296" customFormat="1" ht="18">
      <c r="A1" s="1179" t="str">
        <f>'Review Comments'!B9</f>
        <v>COCONUT GROVE RETAIL XIII, LLC</v>
      </c>
      <c r="B1" s="1180"/>
      <c r="C1" s="1180"/>
      <c r="D1" s="1180"/>
      <c r="E1" s="1181"/>
    </row>
    <row r="2" spans="1:10" s="296" customFormat="1" ht="18">
      <c r="A2" s="1201" t="s">
        <v>975</v>
      </c>
      <c r="B2" s="1202"/>
      <c r="C2" s="1202"/>
      <c r="D2" s="1202"/>
      <c r="E2" s="1203"/>
    </row>
    <row r="3" spans="1:10" s="296" customFormat="1" ht="18.75" thickBot="1">
      <c r="A3" s="1214" t="str">
        <f>'Review Comments'!B11</f>
        <v>FOR THE MONTH 07/31/2026</v>
      </c>
      <c r="B3" s="1215"/>
      <c r="C3" s="1215"/>
      <c r="D3" s="1215"/>
      <c r="E3" s="1216"/>
    </row>
    <row r="4" spans="1:10" s="296" customFormat="1"/>
    <row r="5" spans="1:10" s="296" customFormat="1"/>
    <row r="6" spans="1:10" s="296" customFormat="1"/>
    <row r="7" spans="1:10" s="296" customFormat="1" ht="13.5" thickBot="1"/>
    <row r="8" spans="1:10" s="296" customFormat="1" ht="1.5" customHeight="1">
      <c r="A8" s="318"/>
      <c r="B8" s="319"/>
      <c r="C8" s="319"/>
      <c r="D8" s="319"/>
      <c r="E8" s="320"/>
    </row>
    <row r="9" spans="1:10" s="296" customFormat="1" ht="39.75" customHeight="1" thickBot="1">
      <c r="A9" s="321" t="s">
        <v>714</v>
      </c>
      <c r="B9" s="322"/>
      <c r="C9" s="322" t="s">
        <v>544</v>
      </c>
      <c r="D9" s="322" t="s">
        <v>10</v>
      </c>
      <c r="E9" s="323" t="s">
        <v>856</v>
      </c>
      <c r="F9" s="297"/>
      <c r="G9" s="297"/>
      <c r="H9" s="297"/>
      <c r="I9" s="297"/>
      <c r="J9" s="297"/>
    </row>
    <row r="10" spans="1:10" s="296" customFormat="1">
      <c r="A10" s="301"/>
      <c r="E10" s="308"/>
    </row>
    <row r="11" spans="1:10" s="296" customFormat="1">
      <c r="A11" s="444">
        <v>42978</v>
      </c>
      <c r="D11" s="424" t="s">
        <v>976</v>
      </c>
      <c r="E11" s="426">
        <v>-7181814.0800000001</v>
      </c>
    </row>
    <row r="12" spans="1:10" s="296" customFormat="1">
      <c r="A12" s="444">
        <v>43201</v>
      </c>
      <c r="D12" s="634" t="s">
        <v>977</v>
      </c>
      <c r="E12" s="426">
        <v>-37000</v>
      </c>
      <c r="F12" s="296" t="s">
        <v>978</v>
      </c>
    </row>
    <row r="13" spans="1:10" s="296" customFormat="1" ht="15" customHeight="1">
      <c r="A13" s="420">
        <v>43262</v>
      </c>
      <c r="B13" s="326"/>
      <c r="C13" s="327"/>
      <c r="D13" s="634" t="s">
        <v>977</v>
      </c>
      <c r="E13" s="422">
        <v>-77883</v>
      </c>
      <c r="F13" s="296" t="s">
        <v>979</v>
      </c>
    </row>
    <row r="14" spans="1:10" s="296" customFormat="1" ht="15" customHeight="1">
      <c r="A14" s="420">
        <v>43332</v>
      </c>
      <c r="B14" s="326"/>
      <c r="C14" s="327"/>
      <c r="D14" s="634" t="s">
        <v>977</v>
      </c>
      <c r="E14" s="422">
        <v>-26770.82</v>
      </c>
      <c r="F14" s="296" t="s">
        <v>980</v>
      </c>
    </row>
    <row r="15" spans="1:10" s="296" customFormat="1" ht="15" customHeight="1">
      <c r="A15" s="420">
        <v>43465</v>
      </c>
      <c r="B15" s="326"/>
      <c r="C15" s="327"/>
      <c r="D15" s="634" t="s">
        <v>872</v>
      </c>
      <c r="E15" s="422">
        <v>7181814.0800000001</v>
      </c>
    </row>
    <row r="16" spans="1:10" s="296" customFormat="1" ht="15" customHeight="1">
      <c r="A16" s="420">
        <v>43830</v>
      </c>
      <c r="B16" s="326"/>
      <c r="C16" s="327"/>
      <c r="D16" s="634" t="s">
        <v>884</v>
      </c>
      <c r="E16" s="422">
        <v>141653.82</v>
      </c>
    </row>
    <row r="17" spans="1:5" s="296" customFormat="1">
      <c r="A17" s="302"/>
      <c r="E17" s="300"/>
    </row>
    <row r="18" spans="1:5" s="305" customFormat="1" ht="13.5" thickBot="1">
      <c r="A18" s="303"/>
      <c r="B18" s="304"/>
      <c r="C18" s="304"/>
      <c r="D18" s="324" t="s">
        <v>306</v>
      </c>
      <c r="E18" s="328">
        <f>SUM(E11:E17)</f>
        <v>-2.9103830456733704E-10</v>
      </c>
    </row>
    <row r="19" spans="1:5" s="296" customFormat="1">
      <c r="E19" s="299"/>
    </row>
    <row r="20" spans="1:5" s="296" customFormat="1">
      <c r="B20" s="306"/>
      <c r="C20" s="306"/>
      <c r="D20" s="298"/>
    </row>
    <row r="21" spans="1:5" s="296" customFormat="1">
      <c r="D21" s="298"/>
    </row>
    <row r="22" spans="1:5" s="296" customFormat="1"/>
    <row r="23" spans="1:5">
      <c r="B23" s="307"/>
      <c r="C23" s="307"/>
      <c r="D23" s="296"/>
    </row>
    <row r="24" spans="1:5">
      <c r="D24" s="296"/>
    </row>
    <row r="25" spans="1:5">
      <c r="D25" s="296"/>
    </row>
    <row r="26" spans="1:5">
      <c r="D26" s="296"/>
    </row>
    <row r="27" spans="1:5">
      <c r="D27" s="296"/>
    </row>
  </sheetData>
  <mergeCells count="3">
    <mergeCell ref="A1:E1"/>
    <mergeCell ref="A2:E2"/>
    <mergeCell ref="A3:E3"/>
  </mergeCells>
  <pageMargins left="0.7" right="0.7" top="0.75" bottom="0.75" header="0.3" footer="0.3"/>
  <pageSetup orientation="portrait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 codeName="Sheet65">
    <pageSetUpPr fitToPage="1"/>
  </sheetPr>
  <dimension ref="A1:P66"/>
  <sheetViews>
    <sheetView zoomScale="70" zoomScaleNormal="70" workbookViewId="0">
      <pane ySplit="8" topLeftCell="A9" activePane="bottomLeft" state="frozen"/>
      <selection pane="bottomLeft" activeCell="I13" sqref="I13"/>
    </sheetView>
  </sheetViews>
  <sheetFormatPr defaultRowHeight="12.75"/>
  <cols>
    <col min="1" max="1" width="4.5703125" customWidth="1"/>
    <col min="2" max="2" width="17" customWidth="1"/>
    <col min="3" max="3" width="16.42578125" customWidth="1"/>
    <col min="4" max="4" width="15.5703125" customWidth="1"/>
    <col min="5" max="6" width="16.42578125" customWidth="1"/>
    <col min="7" max="7" width="14.5703125" customWidth="1"/>
    <col min="8" max="8" width="16.42578125" customWidth="1"/>
    <col min="9" max="9" width="36.5703125" bestFit="1" customWidth="1"/>
    <col min="10" max="10" width="14.5703125" customWidth="1"/>
    <col min="11" max="11" width="16.42578125" bestFit="1" customWidth="1"/>
    <col min="12" max="12" width="15.42578125" customWidth="1"/>
    <col min="14" max="14" width="16.42578125" bestFit="1" customWidth="1"/>
    <col min="15" max="15" width="12.42578125" bestFit="1" customWidth="1"/>
    <col min="16" max="16" width="10.42578125" bestFit="1" customWidth="1"/>
  </cols>
  <sheetData>
    <row r="1" spans="1:13" ht="18">
      <c r="A1" s="1252" t="str">
        <f>'Review Comments'!B9</f>
        <v>COCONUT GROVE RETAIL XIII, LLC</v>
      </c>
      <c r="B1" s="1253"/>
      <c r="C1" s="1253"/>
      <c r="D1" s="1253"/>
      <c r="E1" s="1253"/>
      <c r="F1" s="1253"/>
      <c r="G1" s="1253"/>
      <c r="H1" s="1254"/>
    </row>
    <row r="2" spans="1:13" ht="18">
      <c r="A2" s="1201" t="s">
        <v>962</v>
      </c>
      <c r="B2" s="1202"/>
      <c r="C2" s="1202"/>
      <c r="D2" s="1202"/>
      <c r="E2" s="1202"/>
      <c r="F2" s="1202"/>
      <c r="G2" s="1202"/>
      <c r="H2" s="1203"/>
    </row>
    <row r="3" spans="1:13" ht="18.75" thickBot="1">
      <c r="A3" s="1255" t="str">
        <f>'Review Comments'!B11</f>
        <v>FOR THE MONTH 07/31/2026</v>
      </c>
      <c r="B3" s="1256"/>
      <c r="C3" s="1256"/>
      <c r="D3" s="1256"/>
      <c r="E3" s="1256"/>
      <c r="F3" s="1256"/>
      <c r="G3" s="1256"/>
      <c r="H3" s="1257"/>
      <c r="I3" s="377" t="s">
        <v>22</v>
      </c>
    </row>
    <row r="4" spans="1:13" ht="18">
      <c r="B4" s="446"/>
      <c r="C4" s="436"/>
      <c r="D4" s="436"/>
      <c r="E4" s="447"/>
      <c r="F4" s="296"/>
      <c r="G4" s="296"/>
      <c r="H4" s="296"/>
      <c r="I4" s="307" t="s">
        <v>1480</v>
      </c>
    </row>
    <row r="5" spans="1:13">
      <c r="B5" s="684"/>
      <c r="C5" s="448"/>
      <c r="D5" s="448"/>
      <c r="E5" s="449"/>
      <c r="F5" s="296"/>
      <c r="G5" s="296"/>
      <c r="H5" s="296"/>
    </row>
    <row r="6" spans="1:13">
      <c r="B6" s="296"/>
      <c r="C6" s="436"/>
      <c r="D6" s="436"/>
      <c r="E6" s="447"/>
      <c r="F6" s="296"/>
      <c r="G6" s="296"/>
      <c r="H6" s="296"/>
      <c r="K6" s="333"/>
    </row>
    <row r="7" spans="1:13" ht="25.5">
      <c r="A7" s="457"/>
      <c r="B7" s="458" t="s">
        <v>950</v>
      </c>
      <c r="C7" s="568" t="s">
        <v>963</v>
      </c>
      <c r="D7" s="569" t="s">
        <v>964</v>
      </c>
      <c r="E7" s="569" t="s">
        <v>947</v>
      </c>
      <c r="F7" s="569" t="s">
        <v>981</v>
      </c>
      <c r="G7" s="569" t="s">
        <v>965</v>
      </c>
      <c r="H7" s="570" t="s">
        <v>966</v>
      </c>
    </row>
    <row r="8" spans="1:13">
      <c r="A8" s="462"/>
      <c r="B8" s="571"/>
      <c r="C8" s="571">
        <v>54000</v>
      </c>
      <c r="D8" s="571">
        <v>54000</v>
      </c>
      <c r="E8" s="572">
        <v>54000</v>
      </c>
      <c r="F8" s="572" t="s">
        <v>967</v>
      </c>
      <c r="G8" s="572" t="s">
        <v>983</v>
      </c>
      <c r="H8" s="573" t="s">
        <v>1295</v>
      </c>
    </row>
    <row r="9" spans="1:13">
      <c r="B9" s="436"/>
      <c r="C9" s="897"/>
      <c r="D9" s="897"/>
      <c r="E9" s="897"/>
      <c r="F9" s="299"/>
      <c r="G9" s="299"/>
      <c r="H9" s="299"/>
      <c r="J9" s="292"/>
      <c r="K9" s="292"/>
    </row>
    <row r="10" spans="1:13">
      <c r="B10" s="436"/>
      <c r="C10" s="897"/>
      <c r="D10" s="897"/>
      <c r="E10" s="897"/>
      <c r="F10" s="299"/>
      <c r="G10" s="898"/>
      <c r="H10" s="299"/>
      <c r="J10" s="292"/>
      <c r="K10" s="292"/>
    </row>
    <row r="11" spans="1:13" ht="13.5" customHeight="1">
      <c r="B11" s="466"/>
      <c r="C11" s="899"/>
      <c r="D11" s="899"/>
      <c r="E11" s="899"/>
      <c r="F11" s="864"/>
      <c r="G11" s="900"/>
      <c r="H11" s="900"/>
      <c r="J11" s="292"/>
      <c r="K11" s="292"/>
    </row>
    <row r="12" spans="1:13">
      <c r="B12" s="466">
        <v>46023</v>
      </c>
      <c r="C12" s="899">
        <v>94720.22</v>
      </c>
      <c r="D12" s="899"/>
      <c r="E12" s="899"/>
      <c r="F12" s="377"/>
      <c r="G12" s="900"/>
      <c r="H12" s="898"/>
      <c r="I12" s="291" t="s">
        <v>1481</v>
      </c>
    </row>
    <row r="13" spans="1:13">
      <c r="B13" s="466">
        <v>46204</v>
      </c>
      <c r="C13" s="899">
        <v>600</v>
      </c>
      <c r="D13" s="899"/>
      <c r="E13" s="899"/>
      <c r="F13" s="864"/>
      <c r="G13" s="900"/>
      <c r="H13" s="898"/>
      <c r="I13" s="291" t="s">
        <v>1481</v>
      </c>
      <c r="J13" s="291"/>
      <c r="K13" s="291"/>
    </row>
    <row r="14" spans="1:13">
      <c r="B14" s="466"/>
      <c r="C14" s="899"/>
      <c r="D14" s="899"/>
      <c r="E14" s="899"/>
      <c r="F14" s="864"/>
      <c r="G14" s="900"/>
      <c r="H14" s="898"/>
    </row>
    <row r="15" spans="1:13" ht="13.5" customHeight="1">
      <c r="B15" s="466"/>
      <c r="C15" s="899"/>
      <c r="D15" s="899"/>
      <c r="E15" s="899">
        <f>SUM(C15:D15)</f>
        <v>0</v>
      </c>
      <c r="F15" s="864"/>
      <c r="G15" s="299"/>
      <c r="H15" s="901"/>
      <c r="I15" s="198"/>
      <c r="J15" s="291"/>
      <c r="K15" t="s">
        <v>22</v>
      </c>
      <c r="M15" s="291"/>
    </row>
    <row r="16" spans="1:13" ht="13.5" thickBot="1">
      <c r="B16" s="472" t="s">
        <v>951</v>
      </c>
      <c r="C16" s="902">
        <f>SUM(C11:C15)</f>
        <v>95320.22</v>
      </c>
      <c r="D16" s="902">
        <f>SUM(D11:D15)</f>
        <v>0</v>
      </c>
      <c r="E16" s="902">
        <f>SUM(E11:E15)</f>
        <v>0</v>
      </c>
      <c r="F16" s="902">
        <f>SUM(F11:F12)</f>
        <v>0</v>
      </c>
      <c r="G16" s="902">
        <f>SUM(G11:G15)</f>
        <v>0</v>
      </c>
      <c r="H16" s="902">
        <f>SUM(H11:H15)</f>
        <v>0</v>
      </c>
    </row>
    <row r="17" spans="2:15" ht="13.5" thickTop="1">
      <c r="B17" s="466"/>
      <c r="C17" s="822" t="s">
        <v>982</v>
      </c>
      <c r="D17" s="474"/>
      <c r="E17" s="474"/>
      <c r="F17" s="474"/>
      <c r="G17" t="s">
        <v>983</v>
      </c>
      <c r="H17" s="681"/>
    </row>
    <row r="18" spans="2:15" ht="13.5" hidden="1" customHeight="1" thickBot="1">
      <c r="B18" s="574" t="s">
        <v>984</v>
      </c>
      <c r="C18" s="575"/>
      <c r="D18" s="576" t="s">
        <v>970</v>
      </c>
      <c r="E18" s="577" t="s">
        <v>985</v>
      </c>
      <c r="G18" s="574" t="s">
        <v>984</v>
      </c>
      <c r="H18" s="575" t="s">
        <v>986</v>
      </c>
      <c r="I18" s="576" t="s">
        <v>970</v>
      </c>
      <c r="J18" s="577" t="s">
        <v>985</v>
      </c>
      <c r="K18" s="575" t="s">
        <v>986</v>
      </c>
    </row>
    <row r="19" spans="2:15" ht="13.5" hidden="1" thickBot="1">
      <c r="B19" s="633"/>
      <c r="C19" s="410"/>
      <c r="D19" s="579"/>
      <c r="E19" s="685"/>
      <c r="G19" s="633"/>
      <c r="H19" s="410"/>
      <c r="I19" s="579"/>
      <c r="J19" s="685"/>
      <c r="K19" s="576" t="s">
        <v>987</v>
      </c>
    </row>
    <row r="20" spans="2:15" hidden="1">
      <c r="B20" s="633" t="s">
        <v>988</v>
      </c>
      <c r="C20" s="595"/>
      <c r="D20" s="678">
        <f>C20/6</f>
        <v>0</v>
      </c>
      <c r="E20" s="292" t="s">
        <v>989</v>
      </c>
      <c r="F20" s="292"/>
      <c r="G20" s="633" t="s">
        <v>988</v>
      </c>
      <c r="H20" s="595">
        <v>57695.79</v>
      </c>
      <c r="I20" s="579">
        <f>H20/6</f>
        <v>9615.9650000000001</v>
      </c>
      <c r="J20" s="292" t="s">
        <v>989</v>
      </c>
      <c r="K20" s="704">
        <v>57695.79</v>
      </c>
      <c r="L20">
        <f>K20/6</f>
        <v>9615.9650000000001</v>
      </c>
    </row>
    <row r="21" spans="2:15" hidden="1">
      <c r="B21" s="633" t="s">
        <v>990</v>
      </c>
      <c r="C21" s="595"/>
      <c r="D21" s="579">
        <f>C21/6</f>
        <v>0</v>
      </c>
      <c r="E21" s="292" t="s">
        <v>989</v>
      </c>
      <c r="F21" s="292"/>
      <c r="G21" s="633" t="s">
        <v>990</v>
      </c>
      <c r="H21" s="595">
        <v>26240.65</v>
      </c>
      <c r="I21" s="579">
        <f>H21/6</f>
        <v>4373.4416666666666</v>
      </c>
      <c r="J21" s="292" t="s">
        <v>989</v>
      </c>
      <c r="K21" s="704">
        <v>26240.240000000002</v>
      </c>
      <c r="L21">
        <f>K21/6</f>
        <v>4373.3733333333339</v>
      </c>
    </row>
    <row r="22" spans="2:15" hidden="1">
      <c r="B22" s="633" t="s">
        <v>991</v>
      </c>
      <c r="C22" s="595"/>
      <c r="D22" s="579">
        <f>C22/6</f>
        <v>0</v>
      </c>
      <c r="E22" s="292" t="s">
        <v>989</v>
      </c>
      <c r="F22" s="292"/>
      <c r="G22" s="633" t="s">
        <v>991</v>
      </c>
      <c r="H22" s="595">
        <v>12344.81</v>
      </c>
      <c r="I22" s="579">
        <f>H22/6</f>
        <v>2057.4683333333332</v>
      </c>
      <c r="J22" s="292" t="s">
        <v>989</v>
      </c>
      <c r="K22" s="704">
        <v>12344.79</v>
      </c>
      <c r="L22">
        <f>K22/6</f>
        <v>2057.4650000000001</v>
      </c>
    </row>
    <row r="23" spans="2:15" hidden="1">
      <c r="B23" s="633" t="s">
        <v>992</v>
      </c>
      <c r="C23" s="595"/>
      <c r="D23" s="668"/>
      <c r="E23" s="695" t="s">
        <v>993</v>
      </c>
      <c r="G23" s="633" t="s">
        <v>992</v>
      </c>
      <c r="H23" s="595">
        <v>758.25</v>
      </c>
      <c r="I23" s="668"/>
      <c r="J23" s="695" t="s">
        <v>993</v>
      </c>
    </row>
    <row r="24" spans="2:15" hidden="1">
      <c r="B24" s="578"/>
      <c r="C24" s="292"/>
      <c r="D24" s="292"/>
      <c r="G24" s="578"/>
      <c r="H24" s="292"/>
      <c r="I24" s="292"/>
    </row>
    <row r="25" spans="2:15" ht="13.5" hidden="1" thickBot="1">
      <c r="B25" s="580" t="s">
        <v>62</v>
      </c>
      <c r="C25" s="581"/>
      <c r="D25" s="581">
        <f>SUM(D20:D23)</f>
        <v>0</v>
      </c>
      <c r="E25" s="473"/>
      <c r="F25" s="291"/>
      <c r="G25" s="580" t="s">
        <v>62</v>
      </c>
      <c r="H25" s="581">
        <f>SUM(H20:H24)</f>
        <v>97039.5</v>
      </c>
      <c r="I25" s="581">
        <f>SUM(I20:I23)</f>
        <v>16046.875</v>
      </c>
      <c r="J25" s="473"/>
      <c r="K25" s="581">
        <f>SUM(K20:K24)</f>
        <v>96280.82</v>
      </c>
      <c r="L25" s="581">
        <f>SUM(L20:L24)</f>
        <v>16046.803333333333</v>
      </c>
    </row>
    <row r="26" spans="2:15" ht="14.25" hidden="1" thickTop="1" thickBot="1"/>
    <row r="27" spans="2:15" ht="13.5" hidden="1" thickBot="1">
      <c r="B27" s="574" t="s">
        <v>984</v>
      </c>
      <c r="C27" s="575"/>
      <c r="D27" s="576" t="s">
        <v>970</v>
      </c>
      <c r="E27" s="577" t="s">
        <v>985</v>
      </c>
      <c r="I27" s="291"/>
    </row>
    <row r="28" spans="2:15" ht="13.5" hidden="1" thickBot="1">
      <c r="B28" s="578"/>
      <c r="C28" s="292"/>
      <c r="D28" s="579"/>
      <c r="E28" s="292"/>
      <c r="G28" s="574" t="s">
        <v>984</v>
      </c>
      <c r="H28" s="575" t="s">
        <v>994</v>
      </c>
      <c r="I28" s="576" t="s">
        <v>970</v>
      </c>
      <c r="J28" s="577" t="s">
        <v>985</v>
      </c>
      <c r="K28" s="575" t="s">
        <v>994</v>
      </c>
      <c r="N28" s="575" t="s">
        <v>994</v>
      </c>
    </row>
    <row r="29" spans="2:15" ht="13.5" hidden="1" thickBot="1">
      <c r="B29" s="633" t="s">
        <v>988</v>
      </c>
      <c r="C29" s="595"/>
      <c r="D29" s="579">
        <f>C29/6</f>
        <v>0</v>
      </c>
      <c r="E29" s="292" t="s">
        <v>989</v>
      </c>
      <c r="G29" s="633"/>
      <c r="H29" s="410"/>
      <c r="I29" s="579"/>
      <c r="J29" s="685"/>
      <c r="K29" s="576" t="s">
        <v>995</v>
      </c>
      <c r="N29" s="576" t="s">
        <v>996</v>
      </c>
    </row>
    <row r="30" spans="2:15" hidden="1">
      <c r="B30" s="633" t="s">
        <v>990</v>
      </c>
      <c r="C30" s="595"/>
      <c r="D30" s="579">
        <f>C30/6</f>
        <v>0</v>
      </c>
      <c r="E30" s="292" t="s">
        <v>989</v>
      </c>
      <c r="G30" s="633" t="s">
        <v>988</v>
      </c>
      <c r="H30" s="595">
        <f>-'10410'!E119</f>
        <v>57695.79</v>
      </c>
      <c r="I30" s="579">
        <f>H30/6</f>
        <v>9615.9650000000001</v>
      </c>
      <c r="J30" s="292" t="s">
        <v>989</v>
      </c>
      <c r="K30" s="698">
        <f>-'10410'!E119</f>
        <v>57695.79</v>
      </c>
      <c r="L30" s="412">
        <f>ROUNDDOWN(K30/6,2)+0.005</f>
        <v>9615.9649999999983</v>
      </c>
      <c r="N30" s="698">
        <f>-'10410'!E129</f>
        <v>57695.79</v>
      </c>
      <c r="O30" s="292">
        <f>ROUNDDOWN(N30/6,2)+0.005</f>
        <v>9615.9649999999983</v>
      </c>
    </row>
    <row r="31" spans="2:15" hidden="1">
      <c r="B31" s="633" t="s">
        <v>991</v>
      </c>
      <c r="C31" s="595"/>
      <c r="D31" s="579">
        <f>C31/6</f>
        <v>0</v>
      </c>
      <c r="E31" s="292" t="s">
        <v>989</v>
      </c>
      <c r="G31" s="633" t="s">
        <v>990</v>
      </c>
      <c r="H31" s="595">
        <f>-'10410'!E120</f>
        <v>26240.25</v>
      </c>
      <c r="I31" s="579">
        <f>H31/6</f>
        <v>4373.375</v>
      </c>
      <c r="J31" s="292" t="s">
        <v>989</v>
      </c>
      <c r="K31" s="698">
        <f>-'10410'!E120</f>
        <v>26240.25</v>
      </c>
      <c r="L31" s="412">
        <f>ROUNDDOWN(K31/6,2)+0.0025</f>
        <v>4373.3724999999995</v>
      </c>
      <c r="N31" s="698">
        <f>-'10410'!E131</f>
        <v>26240.240000000002</v>
      </c>
      <c r="O31" s="292">
        <f>ROUNDDOWN(N31/6,2)+0.0025</f>
        <v>4373.3724999999995</v>
      </c>
    </row>
    <row r="32" spans="2:15" hidden="1">
      <c r="B32" s="633" t="s">
        <v>992</v>
      </c>
      <c r="C32" s="595"/>
      <c r="D32" s="579"/>
      <c r="E32" s="695" t="s">
        <v>993</v>
      </c>
      <c r="G32" s="633" t="s">
        <v>991</v>
      </c>
      <c r="H32" s="595">
        <f>-'10410'!E121</f>
        <v>12344.81</v>
      </c>
      <c r="I32" s="579">
        <f>H32/6</f>
        <v>2057.4683333333332</v>
      </c>
      <c r="J32" s="292" t="s">
        <v>989</v>
      </c>
      <c r="K32" s="698">
        <f>-'10410'!E121</f>
        <v>12344.81</v>
      </c>
      <c r="L32" s="412">
        <f>ROUNDDOWN(K32/6,2)+0.0025</f>
        <v>2057.4625000000001</v>
      </c>
      <c r="N32" s="698">
        <f>-'10410'!E130</f>
        <v>12344.79</v>
      </c>
      <c r="O32" s="292">
        <f>ROUNDDOWN(N32/6,2)+0.0025</f>
        <v>2057.4625000000001</v>
      </c>
    </row>
    <row r="33" spans="1:16" hidden="1">
      <c r="B33" s="633"/>
      <c r="C33" s="595"/>
      <c r="D33" s="579"/>
      <c r="E33" s="292"/>
      <c r="G33" s="633" t="s">
        <v>992</v>
      </c>
      <c r="H33" s="595">
        <v>758.25</v>
      </c>
      <c r="I33" s="668"/>
      <c r="J33" s="695" t="s">
        <v>993</v>
      </c>
      <c r="K33" s="291"/>
      <c r="N33" s="291"/>
    </row>
    <row r="34" spans="1:16" ht="12" hidden="1" customHeight="1" thickBot="1">
      <c r="B34" s="580" t="s">
        <v>62</v>
      </c>
      <c r="C34" s="581"/>
      <c r="D34" s="581">
        <f>SUM(D29:D31)</f>
        <v>0</v>
      </c>
      <c r="E34" s="473"/>
      <c r="G34" s="578"/>
      <c r="H34" s="292"/>
      <c r="I34" s="292"/>
    </row>
    <row r="35" spans="1:16" ht="13.5" hidden="1" thickBot="1">
      <c r="G35" s="70" t="s">
        <v>62</v>
      </c>
      <c r="H35" s="922">
        <f>SUM(H30:H33)</f>
        <v>97039.1</v>
      </c>
      <c r="I35" s="581">
        <f>SUM(I30:I33)</f>
        <v>16046.808333333334</v>
      </c>
      <c r="J35" s="473"/>
      <c r="K35" s="581">
        <f>SUM(K30:K34)</f>
        <v>96280.85</v>
      </c>
      <c r="L35" s="715">
        <f>SUM(L30:L33)</f>
        <v>16046.799999999997</v>
      </c>
      <c r="N35" s="581">
        <f>SUM(N30:N34)</f>
        <v>96280.82</v>
      </c>
      <c r="O35" s="581">
        <f>SUM(O30:O33)</f>
        <v>16046.799999999997</v>
      </c>
    </row>
    <row r="36" spans="1:16" ht="13.5" thickBot="1">
      <c r="A36" s="1258"/>
      <c r="B36" s="894" t="s">
        <v>982</v>
      </c>
      <c r="C36" s="1114" cm="1">
        <f t="array" ref="C36">IFERROR(INDEX('TB '!$G:$G,MATCH(B36,'TB '!$A:$A,0),0),0)</f>
        <v>95320.22</v>
      </c>
      <c r="D36" s="269"/>
      <c r="E36" s="923"/>
      <c r="F36" s="894"/>
      <c r="G36" s="269" cm="1">
        <f t="array" ref="G36">IFERROR(INDEX('TB '!$G:$G,MATCH(G8,'TB '!$A:$A,0),0),0)</f>
        <v>0</v>
      </c>
      <c r="H36" s="902" cm="1">
        <f t="array" ref="H36">IFERROR(INDEX('TB '!G:G,MATCH('Tax '!H8,'TB '!A:A,0),0),0)</f>
        <v>0</v>
      </c>
      <c r="K36" s="291"/>
      <c r="P36" s="291"/>
    </row>
    <row r="37" spans="1:16" ht="13.5" thickTop="1">
      <c r="A37" s="1258"/>
      <c r="B37" s="895" t="s">
        <v>712</v>
      </c>
      <c r="C37" s="903">
        <f>C16-C36</f>
        <v>0</v>
      </c>
      <c r="D37" s="10"/>
      <c r="E37" s="10"/>
      <c r="F37" s="895"/>
      <c r="G37" s="903">
        <f>G16-G36</f>
        <v>0</v>
      </c>
      <c r="H37" s="832">
        <f>H16-H36</f>
        <v>0</v>
      </c>
    </row>
    <row r="38" spans="1:16">
      <c r="B38" s="806"/>
      <c r="C38" s="291"/>
    </row>
    <row r="39" spans="1:16" ht="13.5" hidden="1" thickBot="1">
      <c r="C39" s="291"/>
      <c r="G39" s="574" t="s">
        <v>984</v>
      </c>
      <c r="H39" s="575" t="s">
        <v>997</v>
      </c>
      <c r="I39" s="576" t="s">
        <v>970</v>
      </c>
      <c r="J39" s="577" t="s">
        <v>985</v>
      </c>
      <c r="K39" s="575" t="s">
        <v>997</v>
      </c>
    </row>
    <row r="40" spans="1:16" ht="13.5" hidden="1" thickBot="1">
      <c r="C40" s="291"/>
      <c r="G40" s="633"/>
      <c r="H40" s="410"/>
      <c r="I40" s="579"/>
      <c r="J40" s="685"/>
      <c r="K40" s="576" t="s">
        <v>996</v>
      </c>
    </row>
    <row r="41" spans="1:16" hidden="1">
      <c r="C41" s="291"/>
      <c r="G41" s="633" t="s">
        <v>988</v>
      </c>
      <c r="H41" s="595">
        <f>-'10410'!E138</f>
        <v>57695.79</v>
      </c>
      <c r="I41" s="579">
        <f>H41/6</f>
        <v>9615.9650000000001</v>
      </c>
      <c r="J41" s="292" t="s">
        <v>989</v>
      </c>
      <c r="K41" s="698">
        <f>-'10410'!E138</f>
        <v>57695.79</v>
      </c>
      <c r="L41" s="412">
        <f>ROUNDDOWN(K41/6,2)+0.005</f>
        <v>9615.9649999999983</v>
      </c>
    </row>
    <row r="42" spans="1:16" hidden="1">
      <c r="G42" s="633" t="s">
        <v>990</v>
      </c>
      <c r="H42" s="595">
        <f>-'10410'!E139</f>
        <v>12344.81</v>
      </c>
      <c r="I42" s="579">
        <f>H42/6</f>
        <v>2057.4683333333332</v>
      </c>
      <c r="J42" s="292" t="s">
        <v>989</v>
      </c>
      <c r="K42" s="698">
        <f>-'10410'!E139</f>
        <v>12344.81</v>
      </c>
      <c r="L42" s="412">
        <f>ROUNDDOWN(K42/6,2)+0.005</f>
        <v>2057.4650000000001</v>
      </c>
    </row>
    <row r="43" spans="1:16" hidden="1">
      <c r="G43" s="633" t="s">
        <v>991</v>
      </c>
      <c r="H43" s="595">
        <f>-'10410'!E140</f>
        <v>26240.25</v>
      </c>
      <c r="I43" s="579">
        <f>H43/6</f>
        <v>4373.375</v>
      </c>
      <c r="J43" s="292" t="s">
        <v>989</v>
      </c>
      <c r="K43" s="698">
        <f>-'10410'!E140</f>
        <v>26240.25</v>
      </c>
      <c r="L43" s="412">
        <f>ROUNDDOWN(K43/6,2)+0.005</f>
        <v>4373.375</v>
      </c>
    </row>
    <row r="44" spans="1:16" hidden="1">
      <c r="C44" s="291"/>
      <c r="G44" s="633" t="s">
        <v>992</v>
      </c>
      <c r="H44" s="595">
        <f>359.18+359.19</f>
        <v>718.37</v>
      </c>
      <c r="I44" s="668"/>
      <c r="J44" s="695" t="s">
        <v>993</v>
      </c>
      <c r="K44" s="291"/>
    </row>
    <row r="45" spans="1:16" hidden="1">
      <c r="G45" s="578"/>
      <c r="H45" s="292"/>
      <c r="I45" s="292"/>
    </row>
    <row r="46" spans="1:16" ht="13.5" hidden="1" thickBot="1">
      <c r="G46" s="580" t="s">
        <v>62</v>
      </c>
      <c r="H46" s="581">
        <f>SUM(H41:H44)</f>
        <v>96999.22</v>
      </c>
      <c r="I46" s="581">
        <f>SUM(I41:I44)</f>
        <v>16046.808333333334</v>
      </c>
      <c r="J46" s="473"/>
      <c r="K46" s="581">
        <f>SUM(K41:K45)</f>
        <v>96280.85</v>
      </c>
      <c r="L46" s="581">
        <f>SUM(L41:L44)+0.005</f>
        <v>16046.809999999998</v>
      </c>
    </row>
    <row r="47" spans="1:16" ht="14.25" hidden="1" thickTop="1" thickBot="1"/>
    <row r="48" spans="1:16" ht="13.5" hidden="1" thickBot="1">
      <c r="G48" s="574" t="s">
        <v>984</v>
      </c>
      <c r="H48" s="575" t="s">
        <v>997</v>
      </c>
      <c r="I48" s="576" t="s">
        <v>970</v>
      </c>
      <c r="J48" s="577" t="s">
        <v>985</v>
      </c>
      <c r="K48" s="575" t="s">
        <v>997</v>
      </c>
    </row>
    <row r="49" spans="3:12" ht="13.5" hidden="1" thickBot="1">
      <c r="G49" s="633"/>
      <c r="H49" s="410"/>
      <c r="I49" s="579"/>
      <c r="J49" s="685"/>
      <c r="K49" s="576" t="s">
        <v>987</v>
      </c>
    </row>
    <row r="50" spans="3:12" hidden="1">
      <c r="G50" s="633" t="s">
        <v>998</v>
      </c>
      <c r="H50" s="595">
        <v>26240.25</v>
      </c>
      <c r="I50" s="579">
        <f>H50/6</f>
        <v>4373.375</v>
      </c>
      <c r="J50" s="292" t="s">
        <v>989</v>
      </c>
      <c r="K50" s="698">
        <f>H50</f>
        <v>26240.25</v>
      </c>
      <c r="L50" s="412">
        <f>ROUNDDOWN(K50/6,2)+0.005</f>
        <v>4373.375</v>
      </c>
    </row>
    <row r="51" spans="3:12" hidden="1">
      <c r="G51" s="633" t="s">
        <v>999</v>
      </c>
      <c r="H51" s="595">
        <v>57695.79</v>
      </c>
      <c r="I51" s="579">
        <f>H51/6</f>
        <v>9615.9650000000001</v>
      </c>
      <c r="J51" s="292" t="s">
        <v>989</v>
      </c>
      <c r="K51" s="698">
        <f>H51</f>
        <v>57695.79</v>
      </c>
      <c r="L51" s="412">
        <f>ROUNDDOWN(K51/6,2)+0.005</f>
        <v>9615.9649999999983</v>
      </c>
    </row>
    <row r="52" spans="3:12" hidden="1">
      <c r="G52" s="633" t="s">
        <v>1000</v>
      </c>
      <c r="H52" s="595">
        <f>12344.81</f>
        <v>12344.81</v>
      </c>
      <c r="I52" s="579">
        <f>H52/6</f>
        <v>2057.4683333333332</v>
      </c>
      <c r="J52" s="292" t="s">
        <v>989</v>
      </c>
      <c r="K52" s="698">
        <f>H52</f>
        <v>12344.81</v>
      </c>
      <c r="L52" s="412">
        <f>ROUNDDOWN(K52/6,2)+0.005</f>
        <v>2057.4650000000001</v>
      </c>
    </row>
    <row r="53" spans="3:12" hidden="1">
      <c r="G53" s="633"/>
      <c r="H53" s="595"/>
      <c r="I53" s="668"/>
      <c r="J53" s="695"/>
      <c r="K53" s="291"/>
    </row>
    <row r="54" spans="3:12" hidden="1">
      <c r="G54" s="578"/>
      <c r="H54" s="292"/>
      <c r="I54" s="292"/>
    </row>
    <row r="55" spans="3:12" ht="13.5" hidden="1" thickBot="1">
      <c r="G55" s="580" t="s">
        <v>62</v>
      </c>
      <c r="H55" s="581">
        <f>SUM(H50:H53)</f>
        <v>96280.85</v>
      </c>
      <c r="I55" s="581">
        <f>SUM(I50:I53)</f>
        <v>16046.808333333334</v>
      </c>
      <c r="J55" s="473"/>
      <c r="K55" s="581">
        <f>SUM(K50:K54)</f>
        <v>96280.85</v>
      </c>
      <c r="L55" s="581">
        <f>SUM(L50:L53)+0.005</f>
        <v>16046.809999999998</v>
      </c>
    </row>
    <row r="56" spans="3:12" ht="13.5" thickBot="1"/>
    <row r="57" spans="3:12" ht="13.5" thickBot="1">
      <c r="E57" s="292"/>
      <c r="G57" s="574" t="s">
        <v>984</v>
      </c>
      <c r="H57" s="575" t="s">
        <v>1317</v>
      </c>
      <c r="I57" s="576" t="s">
        <v>970</v>
      </c>
      <c r="J57" s="577" t="s">
        <v>985</v>
      </c>
      <c r="K57" s="575" t="s">
        <v>1317</v>
      </c>
    </row>
    <row r="58" spans="3:12" ht="13.5" thickBot="1">
      <c r="E58" s="292"/>
      <c r="G58" s="633"/>
      <c r="H58" s="410"/>
      <c r="I58" s="579"/>
      <c r="J58" s="685"/>
      <c r="K58" s="576" t="s">
        <v>996</v>
      </c>
    </row>
    <row r="59" spans="3:12">
      <c r="C59" s="198"/>
      <c r="E59" s="292"/>
      <c r="G59" s="633" t="s">
        <v>998</v>
      </c>
      <c r="H59" s="595">
        <v>25921.52</v>
      </c>
      <c r="I59" s="579">
        <f>H59/6</f>
        <v>4320.2533333333331</v>
      </c>
      <c r="J59" s="292" t="s">
        <v>989</v>
      </c>
      <c r="K59" s="698">
        <f>H59</f>
        <v>25921.52</v>
      </c>
      <c r="L59" s="412">
        <f>ROUNDDOWN(K59/6,2)+0.005</f>
        <v>4320.2550000000001</v>
      </c>
    </row>
    <row r="60" spans="3:12">
      <c r="C60" s="198"/>
      <c r="G60" s="633" t="s">
        <v>999</v>
      </c>
      <c r="H60" s="595">
        <v>25921.52</v>
      </c>
      <c r="I60" s="579">
        <f>H60/6</f>
        <v>4320.2533333333331</v>
      </c>
      <c r="J60" s="292" t="s">
        <v>989</v>
      </c>
      <c r="K60" s="698">
        <f>H60</f>
        <v>25921.52</v>
      </c>
      <c r="L60" s="412">
        <f>ROUNDDOWN(K60/6,2)+0.005</f>
        <v>4320.2550000000001</v>
      </c>
    </row>
    <row r="61" spans="3:12">
      <c r="C61" s="198"/>
      <c r="E61" s="291"/>
      <c r="G61" s="633" t="s">
        <v>1000</v>
      </c>
      <c r="H61" s="595">
        <v>12101.4</v>
      </c>
      <c r="I61" s="579">
        <f>H61/6</f>
        <v>2016.8999999999999</v>
      </c>
      <c r="J61" s="292" t="s">
        <v>989</v>
      </c>
      <c r="K61" s="698">
        <f>H61</f>
        <v>12101.4</v>
      </c>
      <c r="L61" s="412">
        <f>ROUNDDOWN(K61/6,2)+0.005</f>
        <v>2016.9050000000002</v>
      </c>
    </row>
    <row r="62" spans="3:12">
      <c r="G62" s="633"/>
      <c r="H62" s="595"/>
      <c r="I62" s="668"/>
      <c r="K62" s="291"/>
    </row>
    <row r="63" spans="3:12">
      <c r="E63" s="291"/>
      <c r="F63" s="291"/>
      <c r="G63" s="578"/>
      <c r="H63" s="292"/>
      <c r="I63" s="292"/>
      <c r="J63" s="695"/>
    </row>
    <row r="64" spans="3:12" ht="13.5" thickBot="1">
      <c r="G64" s="580" t="s">
        <v>62</v>
      </c>
      <c r="H64" s="581">
        <f>SUM(H59:H62)</f>
        <v>63944.44</v>
      </c>
      <c r="I64" s="581">
        <f>SUM(I59:I62)</f>
        <v>10657.406666666666</v>
      </c>
      <c r="J64" s="473"/>
      <c r="K64" s="581">
        <f>SUM(K59:K63)</f>
        <v>63944.44</v>
      </c>
      <c r="L64" s="581">
        <f>SUM(L59:L62)+0.005</f>
        <v>10657.42</v>
      </c>
    </row>
    <row r="65" spans="8:9" ht="13.5" thickTop="1"/>
    <row r="66" spans="8:9">
      <c r="H66" s="292"/>
      <c r="I66" t="s">
        <v>22</v>
      </c>
    </row>
  </sheetData>
  <mergeCells count="4">
    <mergeCell ref="A1:H1"/>
    <mergeCell ref="A2:H2"/>
    <mergeCell ref="A3:H3"/>
    <mergeCell ref="A36:A37"/>
  </mergeCells>
  <pageMargins left="0.7" right="0.7" top="0.75" bottom="0.75" header="0.3" footer="0.3"/>
  <pageSetup scale="58" orientation="portrait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 codeName="Sheet64"/>
  <dimension ref="A1:R41"/>
  <sheetViews>
    <sheetView zoomScaleNormal="100" workbookViewId="0">
      <pane ySplit="8" topLeftCell="A12" activePane="bottomLeft" state="frozen"/>
      <selection pane="bottomLeft" activeCell="E21" sqref="E21"/>
    </sheetView>
  </sheetViews>
  <sheetFormatPr defaultRowHeight="12.75"/>
  <cols>
    <col min="1" max="1" width="4.5703125" customWidth="1"/>
    <col min="2" max="2" width="17" customWidth="1"/>
    <col min="3" max="3" width="16" style="377" bestFit="1" customWidth="1"/>
    <col min="4" max="4" width="14.42578125" style="377" bestFit="1" customWidth="1"/>
    <col min="5" max="5" width="14.140625" style="377" bestFit="1" customWidth="1"/>
    <col min="6" max="6" width="15.5703125" style="377" customWidth="1"/>
    <col min="7" max="7" width="17.5703125" style="377" hidden="1" customWidth="1"/>
    <col min="8" max="9" width="11.5703125" style="377" hidden="1" customWidth="1"/>
    <col min="10" max="10" width="13.5703125" style="377" hidden="1" customWidth="1"/>
    <col min="11" max="11" width="14.42578125" style="377" hidden="1" customWidth="1"/>
    <col min="12" max="12" width="17.42578125" style="377" bestFit="1" customWidth="1"/>
    <col min="13" max="13" width="17.5703125" customWidth="1"/>
    <col min="14" max="14" width="16.140625" bestFit="1" customWidth="1"/>
    <col min="15" max="15" width="11.42578125" bestFit="1" customWidth="1"/>
  </cols>
  <sheetData>
    <row r="1" spans="1:18" ht="18">
      <c r="A1" s="1252" t="str">
        <f>'Review Comments'!B9</f>
        <v>COCONUT GROVE RETAIL XIII, LLC</v>
      </c>
      <c r="B1" s="1253"/>
      <c r="C1" s="1253"/>
      <c r="D1" s="1253"/>
      <c r="E1" s="1253"/>
      <c r="F1" s="1253"/>
      <c r="G1" s="1253"/>
      <c r="H1" s="1253"/>
      <c r="I1" s="1253"/>
      <c r="J1" s="1253"/>
      <c r="K1" s="1254"/>
    </row>
    <row r="2" spans="1:18" ht="18">
      <c r="A2" s="1201" t="s">
        <v>936</v>
      </c>
      <c r="B2" s="1202"/>
      <c r="C2" s="1202"/>
      <c r="D2" s="1202"/>
      <c r="E2" s="1202"/>
      <c r="F2" s="1202"/>
      <c r="G2" s="1202"/>
      <c r="H2" s="1202"/>
      <c r="I2" s="1202"/>
      <c r="J2" s="1202"/>
      <c r="K2" s="1203"/>
    </row>
    <row r="3" spans="1:18" ht="18.75" thickBot="1">
      <c r="A3" s="1255" t="str">
        <f>'Review Comments'!B11</f>
        <v>FOR THE MONTH 07/31/2026</v>
      </c>
      <c r="B3" s="1256"/>
      <c r="C3" s="1256"/>
      <c r="D3" s="1256"/>
      <c r="E3" s="1256"/>
      <c r="F3" s="1256"/>
      <c r="G3" s="1256"/>
      <c r="H3" s="1256"/>
      <c r="I3" s="1256"/>
      <c r="J3" s="1256"/>
      <c r="K3" s="1257"/>
    </row>
    <row r="4" spans="1:18" ht="18">
      <c r="B4" s="446"/>
      <c r="C4" s="897"/>
      <c r="D4" s="299"/>
      <c r="E4" s="299"/>
      <c r="F4" s="299"/>
      <c r="G4" s="299"/>
      <c r="H4" s="299"/>
      <c r="I4" s="299"/>
      <c r="J4" s="299"/>
      <c r="K4" s="299"/>
    </row>
    <row r="5" spans="1:18">
      <c r="B5" s="296"/>
      <c r="C5" s="897"/>
      <c r="D5" s="299"/>
      <c r="E5" s="299"/>
      <c r="F5" s="299"/>
      <c r="G5" s="299"/>
      <c r="H5" s="299"/>
      <c r="I5" s="299"/>
      <c r="J5" s="299"/>
      <c r="K5" s="299"/>
    </row>
    <row r="6" spans="1:18" ht="15" customHeight="1">
      <c r="B6" s="296"/>
      <c r="C6" s="897"/>
      <c r="D6" s="299"/>
      <c r="E6" s="299"/>
      <c r="F6" s="299"/>
      <c r="G6" s="299"/>
      <c r="H6" s="299"/>
      <c r="I6" s="299"/>
      <c r="J6" s="299"/>
      <c r="K6" s="299"/>
      <c r="N6" s="450"/>
      <c r="O6" s="333"/>
      <c r="R6" t="s">
        <v>1008</v>
      </c>
    </row>
    <row r="7" spans="1:18" ht="38.25">
      <c r="A7" s="457"/>
      <c r="B7" s="458"/>
      <c r="C7" s="904" t="s">
        <v>943</v>
      </c>
      <c r="D7" s="904" t="s">
        <v>944</v>
      </c>
      <c r="E7" s="904" t="s">
        <v>945</v>
      </c>
      <c r="F7" s="904" t="s">
        <v>947</v>
      </c>
      <c r="G7" s="904" t="s">
        <v>943</v>
      </c>
      <c r="H7" s="904" t="s">
        <v>944</v>
      </c>
      <c r="I7" s="904" t="s">
        <v>945</v>
      </c>
      <c r="J7" s="904" t="s">
        <v>1001</v>
      </c>
      <c r="K7" s="905" t="s">
        <v>948</v>
      </c>
      <c r="L7" s="905" t="s">
        <v>949</v>
      </c>
      <c r="M7" s="461" t="s">
        <v>1002</v>
      </c>
      <c r="N7" s="454"/>
      <c r="O7" s="685"/>
    </row>
    <row r="8" spans="1:18">
      <c r="A8" s="462"/>
      <c r="B8" s="636" t="s">
        <v>950</v>
      </c>
      <c r="C8" s="906" t="s">
        <v>1003</v>
      </c>
      <c r="D8" s="906" t="s">
        <v>1004</v>
      </c>
      <c r="E8" s="906" t="s">
        <v>1005</v>
      </c>
      <c r="F8" s="906"/>
      <c r="G8" s="907">
        <v>60111</v>
      </c>
      <c r="H8" s="907">
        <v>60112</v>
      </c>
      <c r="I8" s="907">
        <v>60131</v>
      </c>
      <c r="J8" s="908"/>
      <c r="K8" s="909">
        <v>20500</v>
      </c>
      <c r="L8" s="909" t="s">
        <v>1006</v>
      </c>
      <c r="M8" s="465" t="s">
        <v>1007</v>
      </c>
      <c r="N8" s="1074"/>
      <c r="O8" s="685"/>
    </row>
    <row r="9" spans="1:18">
      <c r="B9" s="436"/>
      <c r="C9" s="897"/>
      <c r="D9" s="897"/>
      <c r="E9" s="897"/>
      <c r="F9" s="897"/>
      <c r="G9" s="897"/>
      <c r="H9" s="897"/>
      <c r="I9" s="897"/>
      <c r="J9" s="299"/>
      <c r="K9" s="299"/>
      <c r="N9" s="454"/>
      <c r="O9" s="685"/>
    </row>
    <row r="10" spans="1:18" s="333" customFormat="1">
      <c r="A10"/>
      <c r="B10" s="466"/>
      <c r="D10" s="910"/>
      <c r="E10" s="910"/>
      <c r="F10" s="910"/>
      <c r="G10" s="910"/>
      <c r="H10" s="910"/>
      <c r="I10" s="910"/>
      <c r="J10" s="911"/>
      <c r="K10" s="898"/>
      <c r="L10" s="377"/>
      <c r="M10" s="677"/>
      <c r="N10"/>
      <c r="O10"/>
    </row>
    <row r="11" spans="1:18" s="333" customFormat="1">
      <c r="A11"/>
      <c r="B11" s="466">
        <v>46048</v>
      </c>
      <c r="C11" s="910"/>
      <c r="D11" s="910">
        <v>2058.73</v>
      </c>
      <c r="E11" s="910">
        <v>1016.34</v>
      </c>
      <c r="F11" s="910">
        <f t="shared" ref="F11:F17" si="0">SUM(C11:E11)</f>
        <v>3075.07</v>
      </c>
      <c r="G11" s="910"/>
      <c r="H11" s="910"/>
      <c r="I11" s="910"/>
      <c r="J11" s="911"/>
      <c r="K11" s="898"/>
      <c r="L11" s="377"/>
      <c r="M11" s="677"/>
      <c r="N11" t="s">
        <v>1456</v>
      </c>
      <c r="O11"/>
    </row>
    <row r="12" spans="1:18" s="333" customFormat="1">
      <c r="A12"/>
      <c r="B12" s="466">
        <v>46048</v>
      </c>
      <c r="C12" s="910">
        <v>10328.48</v>
      </c>
      <c r="D12" s="910">
        <v>1221.78</v>
      </c>
      <c r="E12" s="910">
        <v>603.16</v>
      </c>
      <c r="F12" s="910">
        <f t="shared" si="0"/>
        <v>12153.42</v>
      </c>
      <c r="G12" s="910"/>
      <c r="H12" s="910"/>
      <c r="I12" s="910"/>
      <c r="J12" s="911"/>
      <c r="K12" s="898"/>
      <c r="L12" s="377"/>
      <c r="M12" s="677"/>
      <c r="N12" t="s">
        <v>1457</v>
      </c>
      <c r="O12"/>
    </row>
    <row r="13" spans="1:18" s="333" customFormat="1">
      <c r="A13"/>
      <c r="B13" s="466">
        <v>46079</v>
      </c>
      <c r="C13" s="910">
        <v>0</v>
      </c>
      <c r="D13" s="910">
        <v>1221.78</v>
      </c>
      <c r="E13" s="910">
        <v>603.16</v>
      </c>
      <c r="F13" s="910">
        <f t="shared" si="0"/>
        <v>1824.94</v>
      </c>
      <c r="G13" s="910"/>
      <c r="H13" s="910"/>
      <c r="I13" s="910"/>
      <c r="J13" s="911"/>
      <c r="K13" s="898"/>
      <c r="L13" s="377"/>
      <c r="M13" s="677"/>
      <c r="N13" t="s">
        <v>1487</v>
      </c>
      <c r="O13"/>
    </row>
    <row r="14" spans="1:18" s="333" customFormat="1">
      <c r="A14"/>
      <c r="B14" s="466">
        <v>46112</v>
      </c>
      <c r="C14" s="910">
        <v>0</v>
      </c>
      <c r="D14" s="910">
        <v>1221.78</v>
      </c>
      <c r="E14" s="910">
        <v>603.16</v>
      </c>
      <c r="F14" s="910">
        <f t="shared" si="0"/>
        <v>1824.94</v>
      </c>
      <c r="G14" s="910"/>
      <c r="H14" s="910"/>
      <c r="I14" s="910"/>
      <c r="J14" s="911"/>
      <c r="K14" s="898"/>
      <c r="L14" s="377"/>
      <c r="M14" s="677"/>
      <c r="N14" t="s">
        <v>1488</v>
      </c>
      <c r="O14"/>
    </row>
    <row r="15" spans="1:18" s="333" customFormat="1">
      <c r="A15"/>
      <c r="B15" s="466">
        <v>46142</v>
      </c>
      <c r="C15" s="910">
        <f>69496.23+11558.03</f>
        <v>81054.259999999995</v>
      </c>
      <c r="D15" s="910">
        <v>1221.78</v>
      </c>
      <c r="E15" s="910">
        <v>603.16</v>
      </c>
      <c r="F15" s="910">
        <f t="shared" si="0"/>
        <v>82879.199999999997</v>
      </c>
      <c r="G15" s="910"/>
      <c r="H15" s="910"/>
      <c r="I15" s="910"/>
      <c r="J15" s="911"/>
      <c r="K15" s="898"/>
      <c r="L15" s="377"/>
      <c r="M15" s="677"/>
      <c r="N15" t="s">
        <v>1501</v>
      </c>
      <c r="O15"/>
    </row>
    <row r="16" spans="1:18" s="333" customFormat="1">
      <c r="A16"/>
      <c r="B16" s="466">
        <v>46170</v>
      </c>
      <c r="C16" s="910">
        <v>11558.03</v>
      </c>
      <c r="D16" s="910">
        <v>1221.78</v>
      </c>
      <c r="E16" s="910">
        <v>603.16</v>
      </c>
      <c r="F16" s="910">
        <f t="shared" si="0"/>
        <v>13382.970000000001</v>
      </c>
      <c r="G16" s="910"/>
      <c r="H16" s="910"/>
      <c r="I16" s="910"/>
      <c r="J16" s="911"/>
      <c r="K16" s="898"/>
      <c r="L16" s="377"/>
      <c r="M16" s="677"/>
      <c r="N16" t="s">
        <v>1512</v>
      </c>
      <c r="O16"/>
    </row>
    <row r="17" spans="1:15" s="333" customFormat="1">
      <c r="A17"/>
      <c r="B17" s="466">
        <v>46203</v>
      </c>
      <c r="C17" s="910">
        <v>11558.03</v>
      </c>
      <c r="D17" s="910">
        <v>1221.78</v>
      </c>
      <c r="E17" s="910">
        <v>603.16</v>
      </c>
      <c r="F17" s="910">
        <f t="shared" si="0"/>
        <v>13382.970000000001</v>
      </c>
      <c r="G17" s="1110"/>
      <c r="H17" s="1110"/>
      <c r="I17" s="1110"/>
      <c r="J17" s="1111"/>
      <c r="K17" s="898"/>
      <c r="L17" s="377"/>
      <c r="M17" s="1112"/>
      <c r="N17" t="s">
        <v>1518</v>
      </c>
      <c r="O17"/>
    </row>
    <row r="18" spans="1:15" s="333" customFormat="1">
      <c r="A18"/>
      <c r="B18" s="466">
        <v>46234</v>
      </c>
      <c r="C18" s="910">
        <v>11558.03</v>
      </c>
      <c r="D18" s="910">
        <v>1221.78</v>
      </c>
      <c r="E18" s="910">
        <v>603.16</v>
      </c>
      <c r="F18" s="910">
        <f>SUM(C18:E18)</f>
        <v>13382.970000000001</v>
      </c>
      <c r="G18" s="1110"/>
      <c r="H18" s="1110"/>
      <c r="I18" s="1110"/>
      <c r="J18" s="1111"/>
      <c r="K18" s="898"/>
      <c r="L18" s="377"/>
      <c r="M18" s="1112"/>
      <c r="N18" t="s">
        <v>1539</v>
      </c>
      <c r="O18"/>
    </row>
    <row r="19" spans="1:15" s="333" customFormat="1">
      <c r="A19"/>
      <c r="B19" s="466"/>
      <c r="C19" s="899"/>
      <c r="D19" s="864"/>
      <c r="E19" s="864"/>
      <c r="F19" s="864"/>
      <c r="G19" s="864"/>
      <c r="H19" s="864"/>
      <c r="I19" s="864"/>
      <c r="J19" s="864"/>
      <c r="K19" s="901"/>
      <c r="L19" s="912"/>
      <c r="M19"/>
      <c r="N19"/>
      <c r="O19"/>
    </row>
    <row r="20" spans="1:15" ht="13.5" thickBot="1">
      <c r="B20" s="472" t="s">
        <v>951</v>
      </c>
      <c r="C20" s="902">
        <f>SUM(C11:C18)</f>
        <v>126056.82999999999</v>
      </c>
      <c r="D20" s="902">
        <f>SUM(D11:D18)</f>
        <v>10611.19</v>
      </c>
      <c r="E20" s="902">
        <f>SUM(E11:E18)</f>
        <v>5238.4599999999991</v>
      </c>
      <c r="F20" s="902">
        <v>0</v>
      </c>
      <c r="G20" s="902">
        <f t="shared" ref="G20:M20" si="1">SUM(G10:G10)</f>
        <v>0</v>
      </c>
      <c r="H20" s="902">
        <f t="shared" si="1"/>
        <v>0</v>
      </c>
      <c r="I20" s="902">
        <f t="shared" si="1"/>
        <v>0</v>
      </c>
      <c r="J20" s="902">
        <f t="shared" si="1"/>
        <v>0</v>
      </c>
      <c r="K20" s="902">
        <f t="shared" si="1"/>
        <v>0</v>
      </c>
      <c r="L20" s="902">
        <f>SUM(L10)</f>
        <v>0</v>
      </c>
      <c r="M20" s="473">
        <f t="shared" si="1"/>
        <v>0</v>
      </c>
      <c r="N20" s="333"/>
      <c r="O20" s="333"/>
    </row>
    <row r="21" spans="1:15" ht="13.5" thickTop="1">
      <c r="B21" s="466"/>
      <c r="C21" s="913"/>
      <c r="D21" s="913"/>
      <c r="E21" s="913"/>
      <c r="F21" s="913"/>
      <c r="G21" s="913"/>
      <c r="H21" s="913"/>
      <c r="I21" s="913"/>
      <c r="J21" s="913"/>
      <c r="K21" s="914"/>
    </row>
    <row r="22" spans="1:15">
      <c r="A22" s="1259"/>
      <c r="B22" s="10" t="s">
        <v>549</v>
      </c>
      <c r="C22" s="915" cm="1">
        <f t="array" ref="C22">IFERROR(INDEX('TB '!$G:$G,MATCH(C8,'TB '!$A:$A,0),0),0)</f>
        <v>126056.83</v>
      </c>
      <c r="D22" s="915" cm="1">
        <f t="array" ref="D22">IFERROR(INDEX('TB '!$G:$G,MATCH(D8,'TB '!$A:$A,0),0),0)</f>
        <v>10611.19</v>
      </c>
      <c r="E22" s="915" cm="1">
        <f t="array" ref="E22">IFERROR(INDEX('TB '!$G:$G,MATCH(E8,'TB '!$A:$A,0),0),0)</f>
        <v>5238.46</v>
      </c>
      <c r="F22" s="832"/>
      <c r="G22" s="832"/>
      <c r="H22" s="832"/>
      <c r="I22" s="832"/>
      <c r="J22" s="832"/>
      <c r="K22" s="832"/>
      <c r="L22" s="915" cm="1">
        <f t="array" ref="L22">IFERROR(INDEX('TB '!$G:$G,MATCH(L8,'TB '!$A:$A,0),0),0)</f>
        <v>0</v>
      </c>
      <c r="M22" s="896" cm="1">
        <f t="array" ref="M22">IFERROR(INDEX('TB '!$G:$G,MATCH(M8,'TB '!$A:$A,0),0),0)</f>
        <v>0</v>
      </c>
    </row>
    <row r="23" spans="1:15">
      <c r="A23" s="1260"/>
      <c r="B23" s="893" t="s">
        <v>712</v>
      </c>
      <c r="C23" s="832">
        <f>C20-C22</f>
        <v>0</v>
      </c>
      <c r="D23" s="832">
        <f>D20-D22</f>
        <v>0</v>
      </c>
      <c r="E23" s="832">
        <f>E20-E22</f>
        <v>0</v>
      </c>
      <c r="F23" s="832"/>
      <c r="G23" s="832"/>
      <c r="H23" s="832"/>
      <c r="I23" s="832"/>
      <c r="J23" s="832"/>
      <c r="K23" s="832"/>
      <c r="L23" s="832">
        <f>L20-L22</f>
        <v>0</v>
      </c>
      <c r="M23" s="10"/>
    </row>
    <row r="26" spans="1:15" s="333" customFormat="1" ht="13.5" customHeight="1">
      <c r="A26"/>
      <c r="B26"/>
      <c r="C26" s="377"/>
      <c r="D26" s="377"/>
      <c r="E26" s="377"/>
      <c r="F26" s="377"/>
      <c r="G26" s="377"/>
      <c r="H26" s="377"/>
      <c r="I26" s="377"/>
      <c r="J26" s="377"/>
      <c r="K26" s="377"/>
      <c r="L26" s="377"/>
      <c r="M26"/>
      <c r="N26"/>
      <c r="O26"/>
    </row>
    <row r="27" spans="1:15">
      <c r="E27"/>
      <c r="N27" s="641"/>
    </row>
    <row r="28" spans="1:15">
      <c r="N28" s="641"/>
    </row>
    <row r="34" spans="14:15">
      <c r="N34" s="292"/>
    </row>
    <row r="35" spans="14:15">
      <c r="N35" s="292"/>
    </row>
    <row r="36" spans="14:15">
      <c r="N36" s="292"/>
    </row>
    <row r="37" spans="14:15">
      <c r="N37" s="292"/>
    </row>
    <row r="38" spans="14:15">
      <c r="N38" s="292"/>
    </row>
    <row r="39" spans="14:15">
      <c r="N39" s="292"/>
    </row>
    <row r="40" spans="14:15">
      <c r="N40" s="292"/>
    </row>
    <row r="41" spans="14:15">
      <c r="N41" s="291"/>
      <c r="O41" s="291"/>
    </row>
  </sheetData>
  <mergeCells count="4">
    <mergeCell ref="A1:K1"/>
    <mergeCell ref="A2:K2"/>
    <mergeCell ref="A3:K3"/>
    <mergeCell ref="A22:A23"/>
  </mergeCells>
  <pageMargins left="0.7" right="0.7" top="0.75" bottom="0.75" header="0.3" footer="0.3"/>
  <pageSetup orientation="portrait"/>
  <ignoredErrors>
    <ignoredError sqref="L20" formula="1"/>
  </ignoredError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 codeName="Sheet66"/>
  <dimension ref="A2:H37"/>
  <sheetViews>
    <sheetView workbookViewId="0">
      <selection activeCell="C8" sqref="C8"/>
    </sheetView>
  </sheetViews>
  <sheetFormatPr defaultRowHeight="12.75"/>
  <cols>
    <col min="1" max="1" width="36.42578125" customWidth="1"/>
    <col min="2" max="2" width="12.42578125" bestFit="1" customWidth="1"/>
    <col min="3" max="3" width="12.85546875" style="292" bestFit="1" customWidth="1"/>
    <col min="4" max="5" width="3.5703125" customWidth="1"/>
    <col min="6" max="6" width="83.42578125" bestFit="1" customWidth="1"/>
    <col min="7" max="7" width="11.42578125" customWidth="1"/>
    <col min="8" max="8" width="10.140625" bestFit="1" customWidth="1"/>
  </cols>
  <sheetData>
    <row r="2" spans="1:8">
      <c r="A2" t="s">
        <v>960</v>
      </c>
      <c r="B2">
        <v>40100</v>
      </c>
      <c r="C2" s="292">
        <f>162704.66</f>
        <v>162704.66</v>
      </c>
    </row>
    <row r="3" spans="1:8">
      <c r="B3">
        <v>40100</v>
      </c>
      <c r="C3" s="292">
        <v>0</v>
      </c>
    </row>
    <row r="4" spans="1:8">
      <c r="F4" s="702"/>
    </row>
    <row r="5" spans="1:8">
      <c r="C5" s="1056"/>
    </row>
    <row r="6" spans="1:8">
      <c r="A6" t="s">
        <v>62</v>
      </c>
      <c r="C6" s="292">
        <f>SUM(C2:C5)</f>
        <v>162704.66</v>
      </c>
    </row>
    <row r="8" spans="1:8">
      <c r="A8" t="s">
        <v>1045</v>
      </c>
      <c r="C8" s="292">
        <v>162704.66</v>
      </c>
    </row>
    <row r="9" spans="1:8" ht="14.25" customHeight="1">
      <c r="F9" s="701"/>
    </row>
    <row r="10" spans="1:8">
      <c r="A10" s="709" t="s">
        <v>542</v>
      </c>
      <c r="B10" s="709"/>
      <c r="C10" s="1057">
        <f>+C6-C8</f>
        <v>0</v>
      </c>
      <c r="F10" s="1126"/>
      <c r="G10" s="292"/>
      <c r="H10" s="641"/>
    </row>
    <row r="11" spans="1:8">
      <c r="G11" s="198"/>
    </row>
    <row r="12" spans="1:8">
      <c r="F12" s="333"/>
      <c r="G12" s="291"/>
    </row>
    <row r="13" spans="1:8">
      <c r="A13" s="333" t="s">
        <v>1046</v>
      </c>
      <c r="B13" t="s">
        <v>1226</v>
      </c>
      <c r="C13" s="292" cm="1">
        <f t="array" ref="C13">IFERROR(INDEX('TB '!$G:$G,MATCH(B13,'TB '!$A:$A,0),0),0)</f>
        <v>122046.05</v>
      </c>
    </row>
    <row r="14" spans="1:8">
      <c r="A14" s="333" t="s">
        <v>1047</v>
      </c>
      <c r="B14" t="s">
        <v>1064</v>
      </c>
      <c r="C14" s="292" cm="1">
        <f t="array" ref="C14">IFERROR(INDEX('TB '!$G:$G,MATCH(B14,'TB '!$A:$A,0),0),0)</f>
        <v>-142581.84</v>
      </c>
    </row>
    <row r="15" spans="1:8">
      <c r="A15" s="333" t="s">
        <v>1048</v>
      </c>
      <c r="B15" t="s">
        <v>1297</v>
      </c>
      <c r="C15" s="292" cm="1">
        <f t="array" ref="C15">IFERROR(INDEX('TB '!G:G,MATCH(Notes!B15,'TB '!A:A,0),0),0)</f>
        <v>0</v>
      </c>
    </row>
    <row r="16" spans="1:8">
      <c r="B16" s="333"/>
      <c r="C16" s="292" cm="1">
        <f t="array" ref="C16">IFERROR(INDEX('TB '!G:G,MATCH(Notes!B16,'TB '!A:A,0),0),0)</f>
        <v>0</v>
      </c>
    </row>
    <row r="17" spans="1:8">
      <c r="A17" t="s">
        <v>62</v>
      </c>
      <c r="C17" s="922">
        <f>SUM(C13:C16)</f>
        <v>-20535.789999999994</v>
      </c>
    </row>
    <row r="19" spans="1:8">
      <c r="A19" s="333" t="s">
        <v>1049</v>
      </c>
      <c r="C19" s="698">
        <v>-20535.79</v>
      </c>
    </row>
    <row r="20" spans="1:8">
      <c r="A20" s="333"/>
    </row>
    <row r="22" spans="1:8">
      <c r="A22" t="s">
        <v>542</v>
      </c>
      <c r="C22" s="1058">
        <f>C17-C19</f>
        <v>0</v>
      </c>
      <c r="D22" s="333"/>
    </row>
    <row r="27" spans="1:8">
      <c r="G27" s="198"/>
      <c r="H27" s="198"/>
    </row>
    <row r="28" spans="1:8">
      <c r="G28" s="198"/>
    </row>
    <row r="29" spans="1:8">
      <c r="G29" s="198"/>
    </row>
    <row r="30" spans="1:8">
      <c r="G30" s="198"/>
      <c r="H30" s="198"/>
    </row>
    <row r="31" spans="1:8">
      <c r="G31" s="198"/>
      <c r="H31" s="198"/>
    </row>
    <row r="34" spans="7:8">
      <c r="G34" s="198"/>
      <c r="H34" s="198"/>
    </row>
    <row r="35" spans="7:8">
      <c r="G35" s="198"/>
    </row>
    <row r="37" spans="7:8">
      <c r="G37" s="198"/>
    </row>
  </sheetData>
  <pageMargins left="0.7" right="0.7" top="0.75" bottom="0.75" header="0.3" footer="0.3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 codeName="Sheet67"/>
  <dimension ref="A2:M26"/>
  <sheetViews>
    <sheetView tabSelected="1" topLeftCell="B1" zoomScale="96" zoomScaleNormal="96" workbookViewId="0">
      <selection activeCell="K41" sqref="K41"/>
    </sheetView>
  </sheetViews>
  <sheetFormatPr defaultRowHeight="12.75" outlineLevelCol="1"/>
  <cols>
    <col min="1" max="1" width="47.42578125" style="333" hidden="1" customWidth="1" outlineLevel="1"/>
    <col min="2" max="2" width="33.5703125" style="333" bestFit="1" customWidth="1" collapsed="1"/>
    <col min="3" max="3" width="12.5703125" style="333" bestFit="1" customWidth="1"/>
    <col min="4" max="4" width="13.5703125" style="333" bestFit="1" customWidth="1"/>
    <col min="5" max="5" width="14.85546875" style="333" customWidth="1"/>
    <col min="6" max="6" width="23.42578125" style="333" bestFit="1" customWidth="1"/>
    <col min="10" max="10" width="9.42578125" bestFit="1" customWidth="1"/>
    <col min="11" max="11" width="13.7109375" customWidth="1"/>
  </cols>
  <sheetData>
    <row r="2" spans="1:10" s="1" customFormat="1">
      <c r="A2" s="808" t="s">
        <v>1009</v>
      </c>
      <c r="B2" s="808" t="s">
        <v>1010</v>
      </c>
      <c r="C2" s="809" t="s">
        <v>1011</v>
      </c>
      <c r="D2" s="809" t="s">
        <v>1012</v>
      </c>
      <c r="E2" s="809" t="s">
        <v>1013</v>
      </c>
      <c r="F2" s="810" t="s">
        <v>1014</v>
      </c>
    </row>
    <row r="3" spans="1:10">
      <c r="A3" s="806" t="s">
        <v>1015</v>
      </c>
      <c r="B3" s="719" t="s">
        <v>1016</v>
      </c>
      <c r="C3" s="1115" cm="1">
        <f t="array" ref="C3">IFERROR(INDEX(IS!B:B,MATCH(A3,IS!A:A,0),0),0)</f>
        <v>112929.37</v>
      </c>
      <c r="D3" s="1115" cm="1">
        <f t="array" ref="D3">IFERROR(INDEX('CM Ledger'!G:G,MATCH(B3,'CM Ledger'!A:A,0),0),0)</f>
        <v>112929.37</v>
      </c>
      <c r="E3" s="1115">
        <f>C3-D3</f>
        <v>0</v>
      </c>
    </row>
    <row r="4" spans="1:10">
      <c r="A4" s="806" t="s">
        <v>1017</v>
      </c>
      <c r="B4" s="719" t="s">
        <v>1018</v>
      </c>
      <c r="C4" s="1115" cm="1">
        <f t="array" ref="C4">IFERROR(INDEX(IS!B:B,MATCH(A4,IS!A:A,0),0),0)</f>
        <v>423.09</v>
      </c>
      <c r="D4" s="1115" cm="1">
        <f t="array" ref="D4">IFERROR(INDEX('CM Ledger'!G:G,MATCH(B4,'CM Ledger'!A:A,0),0),0)</f>
        <v>423.09</v>
      </c>
      <c r="E4" s="1115">
        <f t="shared" ref="E4:E16" si="0">C4-D4</f>
        <v>0</v>
      </c>
    </row>
    <row r="5" spans="1:10">
      <c r="A5" s="806" t="s">
        <v>1019</v>
      </c>
      <c r="B5" s="719" t="s">
        <v>1020</v>
      </c>
      <c r="C5" s="1115" cm="1">
        <f t="array" ref="C5">IFERROR(INDEX(IS!B:B,MATCH(A5,IS!A:A,0),0),0)</f>
        <v>37409.29</v>
      </c>
      <c r="D5" s="1115" cm="1">
        <f t="array" ref="D5">IFERROR(INDEX('CM Ledger'!G:G,MATCH(B5,'CM Ledger'!A:A,0),0),0)</f>
        <v>37409.29</v>
      </c>
      <c r="E5" s="1115">
        <f t="shared" si="0"/>
        <v>0</v>
      </c>
    </row>
    <row r="6" spans="1:10">
      <c r="A6" s="806" t="s">
        <v>1021</v>
      </c>
      <c r="B6" s="719" t="s">
        <v>1022</v>
      </c>
      <c r="C6" s="1115" cm="1">
        <f t="array" ref="C6">IFERROR(INDEX(IS!B:B,MATCH(A6,IS!A:A,0),0),0)</f>
        <v>42007.06</v>
      </c>
      <c r="D6" s="1115" cm="1">
        <f t="array" ref="D6">IFERROR(INDEX('CM Ledger'!G:G,MATCH(B6,'CM Ledger'!A:A,0),0),0)</f>
        <v>0</v>
      </c>
      <c r="E6" s="1115">
        <f>C6-D6</f>
        <v>42007.06</v>
      </c>
      <c r="F6" s="333" t="s">
        <v>1410</v>
      </c>
    </row>
    <row r="7" spans="1:10">
      <c r="A7" s="806" t="s">
        <v>1023</v>
      </c>
      <c r="B7" s="719" t="s">
        <v>1024</v>
      </c>
      <c r="C7" s="1115" cm="1">
        <f t="array" ref="C7">IFERROR(INDEX(IS!B:B,MATCH(A7,IS!A:A,0),0),0)</f>
        <v>32356.92</v>
      </c>
      <c r="D7" s="1115" cm="1">
        <f t="array" ref="D7">IFERROR(INDEX('CM Ledger'!G:G,MATCH(B7,'CM Ledger'!A:A,0),0),0)</f>
        <v>32356.92</v>
      </c>
      <c r="E7" s="1115">
        <f t="shared" si="0"/>
        <v>0</v>
      </c>
      <c r="F7" s="1"/>
    </row>
    <row r="8" spans="1:10">
      <c r="A8" s="806" t="s">
        <v>1025</v>
      </c>
      <c r="B8" s="719" t="s">
        <v>1026</v>
      </c>
      <c r="C8" s="1115" cm="1">
        <f t="array" ref="C8">IFERROR(INDEX(IS!B:B,MATCH(A8,IS!A:A,0),0),0)</f>
        <v>-45631.03</v>
      </c>
      <c r="D8" s="1115" cm="1">
        <f t="array" ref="D8">IFERROR(INDEX('CM Ledger'!G:G,MATCH(B8,'CM Ledger'!A:A,0),0),0)</f>
        <v>-45631.03</v>
      </c>
      <c r="E8" s="1115">
        <f t="shared" si="0"/>
        <v>0</v>
      </c>
    </row>
    <row r="9" spans="1:10" hidden="1">
      <c r="A9" s="806" t="s">
        <v>1027</v>
      </c>
      <c r="B9" s="719" t="s">
        <v>1028</v>
      </c>
      <c r="C9" s="1115" cm="1">
        <f t="array" ref="C9">IFERROR(INDEX(IS!B:B,MATCH(A9,IS!A:A,0),0),0)</f>
        <v>0</v>
      </c>
      <c r="D9" s="1115" cm="1">
        <f t="array" ref="D9">IFERROR(INDEX('CM Ledger'!G:G,MATCH(B9,'CM Ledger'!A:A,0),0),0)</f>
        <v>0</v>
      </c>
      <c r="E9" s="1115">
        <f t="shared" si="0"/>
        <v>0</v>
      </c>
      <c r="J9" s="333"/>
    </row>
    <row r="10" spans="1:10">
      <c r="A10" s="806" t="s">
        <v>1029</v>
      </c>
      <c r="B10" s="719" t="s">
        <v>1030</v>
      </c>
      <c r="C10" s="1115" cm="1">
        <f t="array" ref="C10">IFERROR(INDEX(IS!B:B,MATCH(A10,IS!A:A,0),0),0)</f>
        <v>3140.67</v>
      </c>
      <c r="D10" s="1115" cm="1">
        <f t="array" ref="D10">IFERROR(INDEX('CM Ledger'!G:G,MATCH(B10,'CM Ledger'!A:A,0),0),0)</f>
        <v>3140.67</v>
      </c>
      <c r="E10" s="1115">
        <f t="shared" si="0"/>
        <v>0</v>
      </c>
      <c r="I10" s="333"/>
      <c r="J10" s="704"/>
    </row>
    <row r="11" spans="1:10">
      <c r="A11" s="806" t="s">
        <v>1031</v>
      </c>
      <c r="B11" s="719" t="s">
        <v>1032</v>
      </c>
      <c r="C11" s="1115" cm="1">
        <f t="array" ref="C11">IFERROR(INDEX(IS!B:B,MATCH(A11,IS!A:A,0),0),0)</f>
        <v>4101.76</v>
      </c>
      <c r="D11" s="1115" cm="1">
        <f t="array" ref="D11">IFERROR(INDEX('CM Ledger'!G:G,MATCH(B11,'CM Ledger'!A:A,0),0),0)</f>
        <v>4101.76</v>
      </c>
      <c r="E11" s="1115">
        <f t="shared" si="0"/>
        <v>0</v>
      </c>
    </row>
    <row r="12" spans="1:10" hidden="1">
      <c r="A12" s="806" t="s">
        <v>1033</v>
      </c>
      <c r="B12" s="719" t="s">
        <v>1034</v>
      </c>
      <c r="C12" s="1115" cm="1">
        <f t="array" ref="C12">IFERROR(INDEX(IS!B:B,MATCH(A12,IS!A:A,0),0),0)</f>
        <v>0</v>
      </c>
      <c r="D12" s="1115" cm="1">
        <f t="array" ref="D12">IFERROR(INDEX('CM Ledger'!G:G,MATCH(B12,'CM Ledger'!A:A,0),0),0)</f>
        <v>0</v>
      </c>
      <c r="E12" s="1115">
        <f t="shared" si="0"/>
        <v>0</v>
      </c>
      <c r="I12" s="333"/>
      <c r="J12" s="704"/>
    </row>
    <row r="13" spans="1:10">
      <c r="A13" s="806" t="s">
        <v>1035</v>
      </c>
      <c r="B13" s="719" t="s">
        <v>1036</v>
      </c>
      <c r="C13" s="1115" cm="1">
        <f t="array" ref="C13">IFERROR(INDEX(IS!B:B,MATCH(A13,IS!A:A,0),0),0)</f>
        <v>5722.39</v>
      </c>
      <c r="D13" s="1115" cm="1">
        <f t="array" ref="D13">IFERROR(INDEX('CM Ledger'!G:G,MATCH(B13,'CM Ledger'!A:A,0),0),0)</f>
        <v>5722.39</v>
      </c>
      <c r="E13" s="1115">
        <f t="shared" si="0"/>
        <v>0</v>
      </c>
    </row>
    <row r="14" spans="1:10">
      <c r="A14" s="806" t="s">
        <v>1037</v>
      </c>
      <c r="B14" s="719" t="s">
        <v>1038</v>
      </c>
      <c r="C14" s="1115" cm="1">
        <f t="array" ref="C14">IFERROR(INDEX(IS!B:B,MATCH(A14,IS!A:A,0),0),0)</f>
        <v>7668.23</v>
      </c>
      <c r="D14" s="1115" cm="1">
        <f t="array" ref="D14">IFERROR(INDEX('CM Ledger'!G:G,MATCH(B14,'CM Ledger'!A:A,0),0),0)</f>
        <v>7668.23</v>
      </c>
      <c r="E14" s="1115">
        <f t="shared" si="0"/>
        <v>0</v>
      </c>
    </row>
    <row r="15" spans="1:10" ht="13.5" customHeight="1">
      <c r="A15" s="806" t="s">
        <v>1039</v>
      </c>
      <c r="B15" s="719" t="s">
        <v>1287</v>
      </c>
      <c r="C15" s="1115" cm="1">
        <f t="array" ref="C15">IFERROR(INDEX(IS!B:B,MATCH(A15,IS!A:A,0),0),0)</f>
        <v>1500</v>
      </c>
      <c r="D15" s="1115" cm="1">
        <f t="array" ref="D15">IFERROR(INDEX('CM Ledger'!G:G,MATCH(B15,'CM Ledger'!A:A,0),0),0)</f>
        <v>1500</v>
      </c>
      <c r="E15" s="1115">
        <f>C15-D15</f>
        <v>0</v>
      </c>
    </row>
    <row r="16" spans="1:10" ht="15" customHeight="1">
      <c r="A16" s="806" t="s">
        <v>1040</v>
      </c>
      <c r="B16" s="719" t="s">
        <v>1502</v>
      </c>
      <c r="C16" s="1115" cm="1">
        <f t="array" ref="C16">IFERROR(INDEX(IS!B:B,MATCH(A16,IS!A:A,0),0),0)</f>
        <v>3568.32</v>
      </c>
      <c r="D16" s="1115" cm="1">
        <f t="array" ref="D16">IFERROR(INDEX('CM Ledger'!G:G,MATCH(B16,'CM Ledger'!A:A,0),0),0)</f>
        <v>3568.32</v>
      </c>
      <c r="E16" s="1115">
        <f t="shared" si="0"/>
        <v>0</v>
      </c>
    </row>
    <row r="17" spans="1:13">
      <c r="A17" s="806" t="s">
        <v>1042</v>
      </c>
      <c r="B17" s="719" t="s">
        <v>1043</v>
      </c>
      <c r="C17" s="1115" cm="1">
        <f t="array" ref="C17">IFERROR(INDEX(IS!B:B,MATCH(A17,IS!A:A,0),0),0)</f>
        <v>7385.74</v>
      </c>
      <c r="D17" s="1115" cm="1">
        <f t="array" ref="D17">IFERROR(INDEX('CM Ledger'!G:G,MATCH(B17,'CM Ledger'!A:A,0),0),0)</f>
        <v>7385.74</v>
      </c>
      <c r="E17" s="1115">
        <f>C17-D17</f>
        <v>0</v>
      </c>
    </row>
    <row r="18" spans="1:13" hidden="1">
      <c r="A18" s="806"/>
      <c r="B18" s="719" t="s">
        <v>1044</v>
      </c>
      <c r="C18" s="1115" cm="1">
        <f t="array" ref="C18">IFERROR(INDEX(IS!B:B,MATCH(A18,IS!A:A,0),0),0)</f>
        <v>0</v>
      </c>
      <c r="D18" s="1115" cm="1">
        <f t="array" ref="D18">IFERROR(INDEX('CM Ledger'!G:G,MATCH(B18,'CM Ledger'!A:A,0),0),0)</f>
        <v>0</v>
      </c>
      <c r="E18" s="1115">
        <f>C18-D18</f>
        <v>0</v>
      </c>
    </row>
    <row r="19" spans="1:13" hidden="1">
      <c r="A19" s="806" t="s">
        <v>1411</v>
      </c>
      <c r="B19" s="719" t="s">
        <v>1412</v>
      </c>
      <c r="C19" s="1115" cm="1">
        <f t="array" ref="C19">IFERROR(INDEX(IS!B:B,MATCH(A19,IS!A:A,0),0),0)</f>
        <v>0</v>
      </c>
      <c r="D19" s="1115" cm="1">
        <f t="array" ref="D19">IFERROR(INDEX('CM Ledger'!G:G,MATCH(B19,'CM Ledger'!A:A,0),0),0)</f>
        <v>0</v>
      </c>
      <c r="E19" s="1115">
        <f>C19-D19</f>
        <v>0</v>
      </c>
    </row>
    <row r="20" spans="1:13" ht="13.5" thickBot="1">
      <c r="A20" s="803"/>
      <c r="B20" s="803"/>
      <c r="C20" s="1116"/>
      <c r="D20" s="1116"/>
      <c r="E20" s="1116"/>
    </row>
    <row r="21" spans="1:13" ht="13.5" thickTop="1">
      <c r="B21" s="1"/>
      <c r="C21" s="950">
        <f>SUM(C3:C20)</f>
        <v>212581.81000000003</v>
      </c>
      <c r="D21" s="950">
        <f>SUM(D3:D20)</f>
        <v>170574.75000000003</v>
      </c>
      <c r="E21" s="1117">
        <f>SUM(E3:E20)</f>
        <v>42007.06</v>
      </c>
      <c r="F21" s="807"/>
    </row>
    <row r="22" spans="1:13">
      <c r="C22" s="1118" cm="1">
        <f t="array" ref="C22">INDEX(IS!B:B,MATCH("Total Rental Income",IS!A:A,0),0)</f>
        <v>212581.81</v>
      </c>
      <c r="D22" s="1118" cm="1">
        <f t="array" ref="D22">INDEX('CM Ledger'!G:G,MATCH("Grand Total:",'CM Ledger'!B:B,0),0)</f>
        <v>170574.75</v>
      </c>
      <c r="E22" s="1118"/>
    </row>
    <row r="23" spans="1:13">
      <c r="C23" s="965">
        <f>+C21-C22</f>
        <v>0</v>
      </c>
      <c r="D23" s="965">
        <f>+D21-D22</f>
        <v>0</v>
      </c>
      <c r="E23" s="965"/>
      <c r="K23" s="292"/>
    </row>
    <row r="24" spans="1:13">
      <c r="K24" s="292"/>
    </row>
    <row r="25" spans="1:13">
      <c r="K25" s="292"/>
      <c r="M25" s="291"/>
    </row>
    <row r="26" spans="1:13">
      <c r="K26" s="292"/>
      <c r="M26" s="291"/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9853B-909A-4BF1-B62D-6E8C22491CCD}">
  <sheetPr codeName="Sheet77"/>
  <dimension ref="A1:O118"/>
  <sheetViews>
    <sheetView zoomScale="85" zoomScaleNormal="85" workbookViewId="0"/>
  </sheetViews>
  <sheetFormatPr defaultRowHeight="12.75"/>
  <cols>
    <col min="1" max="1" width="39.85546875" bestFit="1" customWidth="1"/>
    <col min="2" max="4" width="11.85546875" customWidth="1"/>
    <col min="5" max="5" width="6.85546875" customWidth="1"/>
    <col min="6" max="7" width="11.85546875" customWidth="1"/>
    <col min="8" max="8" width="10.85546875" customWidth="1"/>
    <col min="9" max="9" width="7.85546875" customWidth="1"/>
  </cols>
  <sheetData>
    <row r="1" spans="1:15" ht="15">
      <c r="A1" s="1129" t="s">
        <v>1050</v>
      </c>
      <c r="B1" s="1130" t="s">
        <v>1408</v>
      </c>
      <c r="C1" s="1128"/>
      <c r="D1" s="1128"/>
      <c r="E1" s="1128"/>
      <c r="F1" s="1128"/>
      <c r="G1" s="1128"/>
      <c r="H1" s="1129" t="s">
        <v>1347</v>
      </c>
      <c r="I1" s="1129" t="s">
        <v>1348</v>
      </c>
      <c r="O1" s="730"/>
    </row>
    <row r="2" spans="1:15" ht="15">
      <c r="A2" s="1129" t="s">
        <v>1051</v>
      </c>
      <c r="B2" s="1130" t="s">
        <v>1080</v>
      </c>
      <c r="C2" s="1128"/>
      <c r="D2" s="1128"/>
      <c r="E2" s="1128"/>
      <c r="F2" s="1128"/>
      <c r="G2" s="1128"/>
      <c r="H2" s="1129" t="s">
        <v>35</v>
      </c>
      <c r="I2" s="1131">
        <v>46239.563738425903</v>
      </c>
    </row>
    <row r="3" spans="1:15" ht="15">
      <c r="A3" s="1129" t="s">
        <v>22</v>
      </c>
      <c r="B3" s="1130" t="s">
        <v>1052</v>
      </c>
      <c r="C3" s="1128"/>
      <c r="D3" s="1128"/>
      <c r="E3" s="1128"/>
      <c r="F3" s="1128"/>
      <c r="G3" s="1128"/>
      <c r="H3" s="1129" t="s">
        <v>1349</v>
      </c>
      <c r="I3" s="1132">
        <v>46239.563738425903</v>
      </c>
    </row>
    <row r="4" spans="1:15" ht="15">
      <c r="A4" s="1129" t="s">
        <v>22</v>
      </c>
      <c r="B4" s="1130" t="s">
        <v>310</v>
      </c>
      <c r="C4" s="1128"/>
      <c r="D4" s="1128"/>
      <c r="E4" s="1128"/>
      <c r="F4" s="1128"/>
      <c r="G4" s="1128"/>
      <c r="H4" s="1128"/>
      <c r="I4" s="1128"/>
    </row>
    <row r="5" spans="1:15" ht="15">
      <c r="A5" s="1129" t="s">
        <v>1283</v>
      </c>
      <c r="B5" s="1128"/>
      <c r="C5" s="1128"/>
      <c r="D5" s="1128"/>
      <c r="E5" s="1128"/>
      <c r="F5" s="1128"/>
      <c r="G5" s="1128"/>
      <c r="H5" s="1128"/>
      <c r="I5" s="1128"/>
    </row>
    <row r="6" spans="1:15" ht="15">
      <c r="A6" s="1128"/>
      <c r="B6" s="1129" t="s">
        <v>1053</v>
      </c>
      <c r="C6" s="1128"/>
      <c r="D6" s="1128"/>
      <c r="E6" s="1128"/>
      <c r="F6" s="1128"/>
      <c r="G6" s="1128"/>
      <c r="H6" s="1128"/>
      <c r="I6" s="1128"/>
    </row>
    <row r="8" spans="1:15" ht="15">
      <c r="A8" s="1128"/>
      <c r="B8" s="1130" t="s">
        <v>1409</v>
      </c>
      <c r="C8" s="1128"/>
      <c r="D8" s="1128"/>
      <c r="E8" s="1128"/>
      <c r="F8" s="1128"/>
      <c r="G8" s="1130" t="s">
        <v>1081</v>
      </c>
      <c r="H8" s="1128"/>
      <c r="I8" s="1128"/>
    </row>
    <row r="9" spans="1:15" ht="15">
      <c r="A9" s="1128"/>
      <c r="B9" s="1129" t="s">
        <v>956</v>
      </c>
      <c r="C9" s="1129" t="s">
        <v>957</v>
      </c>
      <c r="D9" s="1128"/>
      <c r="E9" s="1128"/>
      <c r="F9" s="1129" t="s">
        <v>956</v>
      </c>
      <c r="G9" s="1129" t="s">
        <v>957</v>
      </c>
      <c r="H9" s="1128"/>
      <c r="I9" s="1128"/>
    </row>
    <row r="10" spans="1:15" ht="15">
      <c r="A10" s="1129" t="s">
        <v>1082</v>
      </c>
      <c r="B10" s="1133">
        <v>46234</v>
      </c>
      <c r="C10" s="1133">
        <v>46234</v>
      </c>
      <c r="D10" s="1129" t="s">
        <v>958</v>
      </c>
      <c r="E10" s="1128"/>
      <c r="F10" s="1133">
        <v>46234</v>
      </c>
      <c r="G10" s="1133">
        <v>46234</v>
      </c>
      <c r="H10" s="1129" t="s">
        <v>958</v>
      </c>
      <c r="I10" s="1128"/>
    </row>
    <row r="11" spans="1:15" ht="15">
      <c r="A11" s="1129" t="s">
        <v>1083</v>
      </c>
      <c r="B11" s="1128"/>
      <c r="C11" s="1128"/>
      <c r="D11" s="1128"/>
      <c r="E11" s="1128"/>
      <c r="F11" s="1128"/>
      <c r="G11" s="1128"/>
      <c r="H11" s="1128"/>
      <c r="I11" s="1128"/>
    </row>
    <row r="12" spans="1:15">
      <c r="A12" s="1129" t="s">
        <v>1015</v>
      </c>
      <c r="B12" s="1134">
        <v>112929.37</v>
      </c>
      <c r="C12" s="1134">
        <v>162631</v>
      </c>
      <c r="D12" s="1134">
        <v>-49701.63</v>
      </c>
      <c r="E12" s="1135">
        <v>-0.30559999999999998</v>
      </c>
      <c r="F12" s="1134">
        <v>999479.57</v>
      </c>
      <c r="G12" s="1134">
        <v>1057121</v>
      </c>
      <c r="H12" s="1134">
        <v>-57641.43</v>
      </c>
      <c r="I12" s="1135">
        <v>-5.45E-2</v>
      </c>
    </row>
    <row r="13" spans="1:15">
      <c r="A13" s="1129" t="s">
        <v>1411</v>
      </c>
      <c r="B13" s="1134">
        <v>0</v>
      </c>
      <c r="C13" s="1134">
        <v>0</v>
      </c>
      <c r="D13" s="1134">
        <v>0</v>
      </c>
      <c r="E13" s="1135">
        <v>0</v>
      </c>
      <c r="F13" s="1134">
        <v>-65479.31</v>
      </c>
      <c r="G13" s="1134">
        <v>0</v>
      </c>
      <c r="H13" s="1134">
        <v>-65479.31</v>
      </c>
      <c r="I13" s="1135">
        <v>0</v>
      </c>
    </row>
    <row r="14" spans="1:15">
      <c r="A14" s="1129" t="s">
        <v>1017</v>
      </c>
      <c r="B14" s="1134">
        <v>423.09</v>
      </c>
      <c r="C14" s="1134">
        <v>423</v>
      </c>
      <c r="D14" s="1134">
        <v>0.09</v>
      </c>
      <c r="E14" s="1135">
        <v>2.0000000000000001E-4</v>
      </c>
      <c r="F14" s="1134">
        <v>2961.63</v>
      </c>
      <c r="G14" s="1134">
        <v>2961</v>
      </c>
      <c r="H14" s="1134">
        <v>0.63</v>
      </c>
      <c r="I14" s="1135">
        <v>2.0000000000000001E-4</v>
      </c>
    </row>
    <row r="15" spans="1:15">
      <c r="A15" s="1129" t="s">
        <v>1019</v>
      </c>
      <c r="B15" s="1134">
        <v>37409.29</v>
      </c>
      <c r="C15" s="1134">
        <v>43895</v>
      </c>
      <c r="D15" s="1134">
        <v>-6485.71</v>
      </c>
      <c r="E15" s="1135">
        <v>-0.14779999999999999</v>
      </c>
      <c r="F15" s="1134">
        <v>299224.86</v>
      </c>
      <c r="G15" s="1134">
        <v>307265</v>
      </c>
      <c r="H15" s="1134">
        <v>-8040.14</v>
      </c>
      <c r="I15" s="1135">
        <v>-2.6200000000000001E-2</v>
      </c>
    </row>
    <row r="16" spans="1:15">
      <c r="A16" s="1129" t="s">
        <v>1021</v>
      </c>
      <c r="B16" s="1134">
        <v>42007.06</v>
      </c>
      <c r="C16" s="1134">
        <v>30000</v>
      </c>
      <c r="D16" s="1134">
        <v>12007.06</v>
      </c>
      <c r="E16" s="1135">
        <v>0.4002</v>
      </c>
      <c r="F16" s="1134">
        <v>261747.56</v>
      </c>
      <c r="G16" s="1134">
        <v>210000</v>
      </c>
      <c r="H16" s="1134">
        <v>51747.56</v>
      </c>
      <c r="I16" s="1135">
        <v>0.24640000000000001</v>
      </c>
    </row>
    <row r="17" spans="1:9">
      <c r="A17" s="1129" t="s">
        <v>1023</v>
      </c>
      <c r="B17" s="1134">
        <v>32356.92</v>
      </c>
      <c r="C17" s="1134">
        <v>48581</v>
      </c>
      <c r="D17" s="1134">
        <v>-16224.08</v>
      </c>
      <c r="E17" s="1135">
        <v>-0.33400000000000002</v>
      </c>
      <c r="F17" s="1134">
        <v>281178.53999999998</v>
      </c>
      <c r="G17" s="1134">
        <v>301073</v>
      </c>
      <c r="H17" s="1134">
        <v>-19894.46</v>
      </c>
      <c r="I17" s="1135">
        <v>-6.6100000000000006E-2</v>
      </c>
    </row>
    <row r="18" spans="1:9">
      <c r="A18" s="1129" t="s">
        <v>1025</v>
      </c>
      <c r="B18" s="1134">
        <v>-45631.03</v>
      </c>
      <c r="C18" s="1134">
        <v>0</v>
      </c>
      <c r="D18" s="1134">
        <v>-45631.03</v>
      </c>
      <c r="E18" s="1135">
        <v>0</v>
      </c>
      <c r="F18" s="1134">
        <v>-10477.69</v>
      </c>
      <c r="G18" s="1134">
        <v>0</v>
      </c>
      <c r="H18" s="1134">
        <v>-10477.69</v>
      </c>
      <c r="I18" s="1135">
        <v>0</v>
      </c>
    </row>
    <row r="19" spans="1:9">
      <c r="A19" s="1129" t="s">
        <v>1029</v>
      </c>
      <c r="B19" s="1134">
        <v>3140.67</v>
      </c>
      <c r="C19" s="1134">
        <v>4016</v>
      </c>
      <c r="D19" s="1134">
        <v>-875.33</v>
      </c>
      <c r="E19" s="1135">
        <v>-0.218</v>
      </c>
      <c r="F19" s="1134">
        <v>27117.97</v>
      </c>
      <c r="G19" s="1134">
        <v>28112</v>
      </c>
      <c r="H19" s="1134">
        <v>-994.03</v>
      </c>
      <c r="I19" s="1135">
        <v>-3.5400000000000001E-2</v>
      </c>
    </row>
    <row r="20" spans="1:9">
      <c r="A20" s="1129" t="s">
        <v>1031</v>
      </c>
      <c r="B20" s="1134">
        <v>4101.76</v>
      </c>
      <c r="C20" s="1134">
        <v>9703</v>
      </c>
      <c r="D20" s="1134">
        <v>-5601.24</v>
      </c>
      <c r="E20" s="1135">
        <v>-0.57730000000000004</v>
      </c>
      <c r="F20" s="1134">
        <v>46408.42</v>
      </c>
      <c r="G20" s="1134">
        <v>52009</v>
      </c>
      <c r="H20" s="1134">
        <v>-5600.58</v>
      </c>
      <c r="I20" s="1135">
        <v>-0.1077</v>
      </c>
    </row>
    <row r="21" spans="1:9">
      <c r="A21" s="1129" t="s">
        <v>1035</v>
      </c>
      <c r="B21" s="1134">
        <v>5722.39</v>
      </c>
      <c r="C21" s="1134">
        <v>10678</v>
      </c>
      <c r="D21" s="1134">
        <v>-4955.6099999999997</v>
      </c>
      <c r="E21" s="1135">
        <v>-0.46410000000000001</v>
      </c>
      <c r="F21" s="1134">
        <v>54149.35</v>
      </c>
      <c r="G21" s="1134">
        <v>59512</v>
      </c>
      <c r="H21" s="1134">
        <v>-5362.65</v>
      </c>
      <c r="I21" s="1135">
        <v>-9.01E-2</v>
      </c>
    </row>
    <row r="22" spans="1:9">
      <c r="A22" s="1129" t="s">
        <v>1037</v>
      </c>
      <c r="B22" s="1134">
        <v>7668.23</v>
      </c>
      <c r="C22" s="1134">
        <v>11616</v>
      </c>
      <c r="D22" s="1134">
        <v>-3947.77</v>
      </c>
      <c r="E22" s="1135">
        <v>-0.33989999999999998</v>
      </c>
      <c r="F22" s="1134">
        <v>64904.84</v>
      </c>
      <c r="G22" s="1134">
        <v>69180</v>
      </c>
      <c r="H22" s="1134">
        <v>-4275.16</v>
      </c>
      <c r="I22" s="1135">
        <v>-6.1800000000000001E-2</v>
      </c>
    </row>
    <row r="23" spans="1:9">
      <c r="A23" s="1129" t="s">
        <v>1039</v>
      </c>
      <c r="B23" s="1134">
        <v>1500</v>
      </c>
      <c r="C23" s="1134">
        <v>1500</v>
      </c>
      <c r="D23" s="1134">
        <v>0</v>
      </c>
      <c r="E23" s="1135">
        <v>0</v>
      </c>
      <c r="F23" s="1134">
        <v>10500</v>
      </c>
      <c r="G23" s="1134">
        <v>10500</v>
      </c>
      <c r="H23" s="1134">
        <v>0</v>
      </c>
      <c r="I23" s="1135">
        <v>0</v>
      </c>
    </row>
    <row r="24" spans="1:9">
      <c r="A24" s="1129" t="s">
        <v>1040</v>
      </c>
      <c r="B24" s="1134">
        <v>3568.32</v>
      </c>
      <c r="C24" s="1134">
        <v>3056</v>
      </c>
      <c r="D24" s="1134">
        <v>512.32000000000005</v>
      </c>
      <c r="E24" s="1135">
        <v>0.1676</v>
      </c>
      <c r="F24" s="1134">
        <v>28408.52</v>
      </c>
      <c r="G24" s="1134">
        <v>19592</v>
      </c>
      <c r="H24" s="1134">
        <v>8816.52</v>
      </c>
      <c r="I24" s="1135">
        <v>0.45</v>
      </c>
    </row>
    <row r="25" spans="1:9">
      <c r="A25" s="1129" t="s">
        <v>1042</v>
      </c>
      <c r="B25" s="1136">
        <v>7385.74</v>
      </c>
      <c r="C25" s="1136">
        <v>14708</v>
      </c>
      <c r="D25" s="1136">
        <v>-7322.26</v>
      </c>
      <c r="E25" s="1135">
        <v>-0.49780000000000002</v>
      </c>
      <c r="F25" s="1136">
        <v>83775.399999999994</v>
      </c>
      <c r="G25" s="1136">
        <v>98996</v>
      </c>
      <c r="H25" s="1136">
        <v>-15220.6</v>
      </c>
      <c r="I25" s="1137">
        <v>-0.1537</v>
      </c>
    </row>
    <row r="26" spans="1:9">
      <c r="A26" s="1129" t="s">
        <v>1084</v>
      </c>
      <c r="B26" s="1134">
        <v>212581.81</v>
      </c>
      <c r="C26" s="1134">
        <v>340807</v>
      </c>
      <c r="D26" s="1134">
        <v>-128225.19</v>
      </c>
      <c r="E26" s="1135">
        <v>-0.37619999999999998</v>
      </c>
      <c r="F26" s="1134">
        <v>2083899.66</v>
      </c>
      <c r="G26" s="1134">
        <v>2216321</v>
      </c>
      <c r="H26" s="1134">
        <v>-132421.34</v>
      </c>
      <c r="I26" s="1135">
        <v>-5.9700000000000003E-2</v>
      </c>
    </row>
    <row r="27" spans="1:9" ht="15">
      <c r="A27" s="1128"/>
      <c r="B27" s="1138"/>
      <c r="C27" s="1138"/>
      <c r="D27" s="1138"/>
      <c r="E27" s="1128"/>
      <c r="F27" s="1138"/>
      <c r="G27" s="1138"/>
      <c r="H27" s="1138"/>
      <c r="I27" s="1138"/>
    </row>
    <row r="28" spans="1:9">
      <c r="A28" s="1129" t="s">
        <v>1085</v>
      </c>
      <c r="B28" s="1134">
        <v>212581.81</v>
      </c>
      <c r="C28" s="1134">
        <v>340807</v>
      </c>
      <c r="D28" s="1134">
        <v>-128225.19</v>
      </c>
      <c r="E28" s="1135">
        <v>-0.37619999999999998</v>
      </c>
      <c r="F28" s="1134">
        <v>2083899.66</v>
      </c>
      <c r="G28" s="1134">
        <v>2216321</v>
      </c>
      <c r="H28" s="1134">
        <v>-132421.34</v>
      </c>
      <c r="I28" s="1135">
        <v>-5.9700000000000003E-2</v>
      </c>
    </row>
    <row r="29" spans="1:9">
      <c r="A29" s="1122"/>
      <c r="B29" s="1123"/>
      <c r="C29" s="1123"/>
      <c r="D29" s="1123"/>
      <c r="E29" s="1124"/>
      <c r="F29" s="1123"/>
      <c r="G29" s="1123"/>
      <c r="H29" s="1123"/>
      <c r="I29" s="1124"/>
    </row>
    <row r="30" spans="1:9" ht="15">
      <c r="A30" s="1129" t="s">
        <v>1086</v>
      </c>
      <c r="B30" s="1128"/>
      <c r="C30" s="1128"/>
      <c r="D30" s="1128"/>
      <c r="E30" s="1128"/>
      <c r="F30" s="1128"/>
      <c r="G30" s="1128"/>
      <c r="H30" s="1128"/>
      <c r="I30" s="1128"/>
    </row>
    <row r="31" spans="1:9">
      <c r="A31" s="1129" t="s">
        <v>1087</v>
      </c>
      <c r="B31" s="1134">
        <v>0</v>
      </c>
      <c r="C31" s="1134">
        <v>11361</v>
      </c>
      <c r="D31" s="1134">
        <v>11361</v>
      </c>
      <c r="E31" s="1135">
        <v>1</v>
      </c>
      <c r="F31" s="1134">
        <v>114498.8</v>
      </c>
      <c r="G31" s="1134">
        <v>115544</v>
      </c>
      <c r="H31" s="1134">
        <v>1045.2</v>
      </c>
      <c r="I31" s="1135">
        <v>8.9999999999999993E-3</v>
      </c>
    </row>
    <row r="32" spans="1:9">
      <c r="A32" s="1129" t="s">
        <v>1088</v>
      </c>
      <c r="B32" s="1134">
        <v>1221.78</v>
      </c>
      <c r="C32" s="1134">
        <v>1221.75</v>
      </c>
      <c r="D32" s="1134">
        <v>-0.03</v>
      </c>
      <c r="E32" s="1135">
        <v>0</v>
      </c>
      <c r="F32" s="1134">
        <v>10611.19</v>
      </c>
      <c r="G32" s="1134">
        <v>10611.01</v>
      </c>
      <c r="H32" s="1134">
        <v>-0.18</v>
      </c>
      <c r="I32" s="1135">
        <v>0</v>
      </c>
    </row>
    <row r="33" spans="1:9">
      <c r="A33" s="1129" t="s">
        <v>1089</v>
      </c>
      <c r="B33" s="1134">
        <v>603.16</v>
      </c>
      <c r="C33" s="1134">
        <v>603.16</v>
      </c>
      <c r="D33" s="1134">
        <v>0</v>
      </c>
      <c r="E33" s="1135">
        <v>0</v>
      </c>
      <c r="F33" s="1134">
        <v>5238.46</v>
      </c>
      <c r="G33" s="1134">
        <v>5238.46</v>
      </c>
      <c r="H33" s="1134">
        <v>0</v>
      </c>
      <c r="I33" s="1135">
        <v>0</v>
      </c>
    </row>
    <row r="34" spans="1:9">
      <c r="A34" s="1129" t="s">
        <v>1470</v>
      </c>
      <c r="B34" s="1134">
        <v>0</v>
      </c>
      <c r="C34" s="1134">
        <v>0</v>
      </c>
      <c r="D34" s="1134">
        <v>0</v>
      </c>
      <c r="E34" s="1135">
        <v>0</v>
      </c>
      <c r="F34" s="1134">
        <v>6282.72</v>
      </c>
      <c r="G34" s="1134">
        <v>26255</v>
      </c>
      <c r="H34" s="1134">
        <v>19972.28</v>
      </c>
      <c r="I34" s="1135">
        <v>0.76070000000000004</v>
      </c>
    </row>
    <row r="35" spans="1:9">
      <c r="A35" s="1129" t="s">
        <v>1090</v>
      </c>
      <c r="B35" s="1134">
        <v>8490.23</v>
      </c>
      <c r="C35" s="1134">
        <v>8032</v>
      </c>
      <c r="D35" s="1134">
        <v>-458.23</v>
      </c>
      <c r="E35" s="1135">
        <v>-5.7099999999999998E-2</v>
      </c>
      <c r="F35" s="1134">
        <v>56931.11</v>
      </c>
      <c r="G35" s="1134">
        <v>56224</v>
      </c>
      <c r="H35" s="1134">
        <v>-707.11</v>
      </c>
      <c r="I35" s="1135">
        <v>-1.26E-2</v>
      </c>
    </row>
    <row r="36" spans="1:9">
      <c r="A36" s="1129" t="s">
        <v>1091</v>
      </c>
      <c r="B36" s="1134">
        <v>0</v>
      </c>
      <c r="C36" s="1134">
        <v>250</v>
      </c>
      <c r="D36" s="1134">
        <v>250</v>
      </c>
      <c r="E36" s="1135">
        <v>1</v>
      </c>
      <c r="F36" s="1134">
        <v>0</v>
      </c>
      <c r="G36" s="1134">
        <v>750</v>
      </c>
      <c r="H36" s="1134">
        <v>750</v>
      </c>
      <c r="I36" s="1135">
        <v>1</v>
      </c>
    </row>
    <row r="37" spans="1:9">
      <c r="A37" s="1129" t="s">
        <v>1092</v>
      </c>
      <c r="B37" s="1134">
        <v>2996.69</v>
      </c>
      <c r="C37" s="1134">
        <v>2865</v>
      </c>
      <c r="D37" s="1134">
        <v>-131.69</v>
      </c>
      <c r="E37" s="1135">
        <v>-4.5999999999999999E-2</v>
      </c>
      <c r="F37" s="1134">
        <v>17041.71</v>
      </c>
      <c r="G37" s="1134">
        <v>15055</v>
      </c>
      <c r="H37" s="1134">
        <v>-1986.71</v>
      </c>
      <c r="I37" s="1135">
        <v>-0.13200000000000001</v>
      </c>
    </row>
    <row r="38" spans="1:9">
      <c r="A38" s="1129" t="s">
        <v>1471</v>
      </c>
      <c r="B38" s="1134">
        <v>0</v>
      </c>
      <c r="C38" s="1134">
        <v>0</v>
      </c>
      <c r="D38" s="1134">
        <v>0</v>
      </c>
      <c r="E38" s="1135">
        <v>0</v>
      </c>
      <c r="F38" s="1134">
        <v>0</v>
      </c>
      <c r="G38" s="1134">
        <v>1000</v>
      </c>
      <c r="H38" s="1134">
        <v>1000</v>
      </c>
      <c r="I38" s="1135">
        <v>1</v>
      </c>
    </row>
    <row r="39" spans="1:9">
      <c r="A39" s="1129" t="s">
        <v>1093</v>
      </c>
      <c r="B39" s="1134">
        <v>0</v>
      </c>
      <c r="C39" s="1134">
        <v>4000</v>
      </c>
      <c r="D39" s="1134">
        <v>4000</v>
      </c>
      <c r="E39" s="1135">
        <v>1</v>
      </c>
      <c r="F39" s="1134">
        <v>5201.54</v>
      </c>
      <c r="G39" s="1134">
        <v>5000</v>
      </c>
      <c r="H39" s="1134">
        <v>-201.54</v>
      </c>
      <c r="I39" s="1135">
        <v>-4.0300000000000002E-2</v>
      </c>
    </row>
    <row r="40" spans="1:9">
      <c r="A40" s="1129" t="s">
        <v>1472</v>
      </c>
      <c r="B40" s="1134">
        <v>0</v>
      </c>
      <c r="C40" s="1134">
        <v>0</v>
      </c>
      <c r="D40" s="1134">
        <v>0</v>
      </c>
      <c r="E40" s="1135">
        <v>0</v>
      </c>
      <c r="F40" s="1134">
        <v>1570.03</v>
      </c>
      <c r="G40" s="1134">
        <v>28750</v>
      </c>
      <c r="H40" s="1134">
        <v>27179.97</v>
      </c>
      <c r="I40" s="1135">
        <v>0.94540000000000002</v>
      </c>
    </row>
    <row r="41" spans="1:9">
      <c r="A41" s="1129" t="s">
        <v>1094</v>
      </c>
      <c r="B41" s="1134">
        <v>0</v>
      </c>
      <c r="C41" s="1134">
        <v>200</v>
      </c>
      <c r="D41" s="1134">
        <v>200</v>
      </c>
      <c r="E41" s="1135">
        <v>1</v>
      </c>
      <c r="F41" s="1134">
        <v>431.94</v>
      </c>
      <c r="G41" s="1134">
        <v>600</v>
      </c>
      <c r="H41" s="1134">
        <v>168.06</v>
      </c>
      <c r="I41" s="1135">
        <v>0.28010000000000002</v>
      </c>
    </row>
    <row r="42" spans="1:9">
      <c r="A42" s="1129" t="s">
        <v>1095</v>
      </c>
      <c r="B42" s="1134">
        <v>2310.04</v>
      </c>
      <c r="C42" s="1134">
        <v>1300</v>
      </c>
      <c r="D42" s="1134">
        <v>-1010.04</v>
      </c>
      <c r="E42" s="1135">
        <v>-0.77700000000000002</v>
      </c>
      <c r="F42" s="1134">
        <v>6265.12</v>
      </c>
      <c r="G42" s="1134">
        <v>9100</v>
      </c>
      <c r="H42" s="1134">
        <v>2834.88</v>
      </c>
      <c r="I42" s="1135">
        <v>0.3115</v>
      </c>
    </row>
    <row r="43" spans="1:9">
      <c r="A43" s="1129" t="s">
        <v>1519</v>
      </c>
      <c r="B43" s="1134">
        <v>14827.17</v>
      </c>
      <c r="C43" s="1134">
        <v>0</v>
      </c>
      <c r="D43" s="1134">
        <v>-14827.17</v>
      </c>
      <c r="E43" s="1135">
        <v>0</v>
      </c>
      <c r="F43" s="1134">
        <v>17580.25</v>
      </c>
      <c r="G43" s="1134">
        <v>0</v>
      </c>
      <c r="H43" s="1134">
        <v>-17580.25</v>
      </c>
      <c r="I43" s="1135">
        <v>0</v>
      </c>
    </row>
    <row r="44" spans="1:9">
      <c r="A44" s="1129" t="s">
        <v>1096</v>
      </c>
      <c r="B44" s="1134">
        <v>11249.58</v>
      </c>
      <c r="C44" s="1134">
        <v>11199</v>
      </c>
      <c r="D44" s="1134">
        <v>-50.58</v>
      </c>
      <c r="E44" s="1135">
        <v>-4.4999999999999997E-3</v>
      </c>
      <c r="F44" s="1134">
        <v>79984.429999999993</v>
      </c>
      <c r="G44" s="1134">
        <v>78393</v>
      </c>
      <c r="H44" s="1134">
        <v>-1591.43</v>
      </c>
      <c r="I44" s="1135">
        <v>-2.0299999999999999E-2</v>
      </c>
    </row>
    <row r="45" spans="1:9">
      <c r="A45" s="1129" t="s">
        <v>1097</v>
      </c>
      <c r="B45" s="1134">
        <v>287.95999999999998</v>
      </c>
      <c r="C45" s="1134">
        <v>295</v>
      </c>
      <c r="D45" s="1134">
        <v>7.04</v>
      </c>
      <c r="E45" s="1135">
        <v>2.3900000000000001E-2</v>
      </c>
      <c r="F45" s="1134">
        <v>8719.99</v>
      </c>
      <c r="G45" s="1134">
        <v>6065</v>
      </c>
      <c r="H45" s="1134">
        <v>-2654.99</v>
      </c>
      <c r="I45" s="1135">
        <v>-0.43780000000000002</v>
      </c>
    </row>
    <row r="46" spans="1:9">
      <c r="A46" s="1129" t="s">
        <v>1473</v>
      </c>
      <c r="B46" s="1134">
        <v>0</v>
      </c>
      <c r="C46" s="1134">
        <v>0</v>
      </c>
      <c r="D46" s="1134">
        <v>0</v>
      </c>
      <c r="E46" s="1135">
        <v>0</v>
      </c>
      <c r="F46" s="1134">
        <v>2585.46</v>
      </c>
      <c r="G46" s="1134">
        <v>2500</v>
      </c>
      <c r="H46" s="1134">
        <v>-85.46</v>
      </c>
      <c r="I46" s="1135">
        <v>-3.4200000000000001E-2</v>
      </c>
    </row>
    <row r="47" spans="1:9">
      <c r="A47" s="1129" t="s">
        <v>1503</v>
      </c>
      <c r="B47" s="1134">
        <v>3136.12</v>
      </c>
      <c r="C47" s="1134">
        <v>0</v>
      </c>
      <c r="D47" s="1134">
        <v>-3136.12</v>
      </c>
      <c r="E47" s="1135">
        <v>0</v>
      </c>
      <c r="F47" s="1134">
        <v>3615.57</v>
      </c>
      <c r="G47" s="1134">
        <v>500</v>
      </c>
      <c r="H47" s="1134">
        <v>-3115.57</v>
      </c>
      <c r="I47" s="1135">
        <v>-6.2310999999999996</v>
      </c>
    </row>
    <row r="48" spans="1:9">
      <c r="A48" s="1129" t="s">
        <v>1098</v>
      </c>
      <c r="B48" s="1134">
        <v>8503.27</v>
      </c>
      <c r="C48" s="1134">
        <v>13658</v>
      </c>
      <c r="D48" s="1134">
        <v>5154.7299999999996</v>
      </c>
      <c r="E48" s="1135">
        <v>0.37740000000000001</v>
      </c>
      <c r="F48" s="1134">
        <v>89057.22</v>
      </c>
      <c r="G48" s="1134">
        <v>88460</v>
      </c>
      <c r="H48" s="1134">
        <v>-597.22</v>
      </c>
      <c r="I48" s="1135">
        <v>-6.7999999999999996E-3</v>
      </c>
    </row>
    <row r="49" spans="1:9">
      <c r="A49" s="1129" t="s">
        <v>1489</v>
      </c>
      <c r="B49" s="1134">
        <v>0</v>
      </c>
      <c r="C49" s="1134">
        <v>2874</v>
      </c>
      <c r="D49" s="1134">
        <v>2874</v>
      </c>
      <c r="E49" s="1135">
        <v>1</v>
      </c>
      <c r="F49" s="1134">
        <v>0</v>
      </c>
      <c r="G49" s="1134">
        <v>3644</v>
      </c>
      <c r="H49" s="1134">
        <v>3644</v>
      </c>
      <c r="I49" s="1135">
        <v>1</v>
      </c>
    </row>
    <row r="50" spans="1:9">
      <c r="A50" s="1129" t="s">
        <v>1504</v>
      </c>
      <c r="B50" s="1134">
        <v>0</v>
      </c>
      <c r="C50" s="1134">
        <v>0</v>
      </c>
      <c r="D50" s="1134">
        <v>0</v>
      </c>
      <c r="E50" s="1135">
        <v>0</v>
      </c>
      <c r="F50" s="1134">
        <v>397.91</v>
      </c>
      <c r="G50" s="1134">
        <v>603</v>
      </c>
      <c r="H50" s="1134">
        <v>205.09</v>
      </c>
      <c r="I50" s="1135">
        <v>0.34010000000000001</v>
      </c>
    </row>
    <row r="51" spans="1:9">
      <c r="A51" s="1129" t="s">
        <v>1099</v>
      </c>
      <c r="B51" s="1134">
        <v>2551.98</v>
      </c>
      <c r="C51" s="1134">
        <v>2577</v>
      </c>
      <c r="D51" s="1134">
        <v>25.02</v>
      </c>
      <c r="E51" s="1135">
        <v>9.7000000000000003E-3</v>
      </c>
      <c r="F51" s="1134">
        <v>17863.86</v>
      </c>
      <c r="G51" s="1134">
        <v>18039</v>
      </c>
      <c r="H51" s="1134">
        <v>175.14</v>
      </c>
      <c r="I51" s="1135">
        <v>9.7000000000000003E-3</v>
      </c>
    </row>
    <row r="52" spans="1:9">
      <c r="A52" s="1129" t="s">
        <v>1100</v>
      </c>
      <c r="B52" s="1134">
        <v>10185.469999999999</v>
      </c>
      <c r="C52" s="1134">
        <v>10168</v>
      </c>
      <c r="D52" s="1134">
        <v>-17.47</v>
      </c>
      <c r="E52" s="1135">
        <v>-1.6999999999999999E-3</v>
      </c>
      <c r="F52" s="1134">
        <v>49569.67</v>
      </c>
      <c r="G52" s="1134">
        <v>71176</v>
      </c>
      <c r="H52" s="1134">
        <v>21606.33</v>
      </c>
      <c r="I52" s="1135">
        <v>0.30359999999999998</v>
      </c>
    </row>
    <row r="53" spans="1:9">
      <c r="A53" s="1129" t="s">
        <v>1101</v>
      </c>
      <c r="B53" s="1134">
        <v>0</v>
      </c>
      <c r="C53" s="1134">
        <v>1500</v>
      </c>
      <c r="D53" s="1134">
        <v>1500</v>
      </c>
      <c r="E53" s="1135">
        <v>1</v>
      </c>
      <c r="F53" s="1134">
        <v>-2625.79</v>
      </c>
      <c r="G53" s="1134">
        <v>4500</v>
      </c>
      <c r="H53" s="1134">
        <v>7125.79</v>
      </c>
      <c r="I53" s="1135">
        <v>1.5834999999999999</v>
      </c>
    </row>
    <row r="54" spans="1:9">
      <c r="A54" s="1129" t="s">
        <v>1102</v>
      </c>
      <c r="B54" s="1134">
        <v>0</v>
      </c>
      <c r="C54" s="1134">
        <v>2000</v>
      </c>
      <c r="D54" s="1134">
        <v>2000</v>
      </c>
      <c r="E54" s="1135">
        <v>1</v>
      </c>
      <c r="F54" s="1134">
        <v>10430.26</v>
      </c>
      <c r="G54" s="1134">
        <v>14000</v>
      </c>
      <c r="H54" s="1134">
        <v>3569.74</v>
      </c>
      <c r="I54" s="1135">
        <v>0.255</v>
      </c>
    </row>
    <row r="55" spans="1:9">
      <c r="A55" s="1129" t="s">
        <v>1520</v>
      </c>
      <c r="B55" s="1134">
        <v>0</v>
      </c>
      <c r="C55" s="1134">
        <v>1030</v>
      </c>
      <c r="D55" s="1134">
        <v>1030</v>
      </c>
      <c r="E55" s="1135">
        <v>1</v>
      </c>
      <c r="F55" s="1134">
        <v>1209.42</v>
      </c>
      <c r="G55" s="1134">
        <v>1030</v>
      </c>
      <c r="H55" s="1134">
        <v>-179.42</v>
      </c>
      <c r="I55" s="1135">
        <v>-0.17419999999999999</v>
      </c>
    </row>
    <row r="56" spans="1:9">
      <c r="A56" s="1129" t="s">
        <v>1513</v>
      </c>
      <c r="B56" s="1134">
        <v>0</v>
      </c>
      <c r="C56" s="1134">
        <v>0</v>
      </c>
      <c r="D56" s="1134">
        <v>0</v>
      </c>
      <c r="E56" s="1135">
        <v>0</v>
      </c>
      <c r="F56" s="1134">
        <v>0</v>
      </c>
      <c r="G56" s="1134">
        <v>500</v>
      </c>
      <c r="H56" s="1134">
        <v>500</v>
      </c>
      <c r="I56" s="1135">
        <v>1</v>
      </c>
    </row>
    <row r="57" spans="1:9">
      <c r="A57" s="1129" t="s">
        <v>1474</v>
      </c>
      <c r="B57" s="1134">
        <v>600</v>
      </c>
      <c r="C57" s="1134">
        <v>0</v>
      </c>
      <c r="D57" s="1134">
        <v>-600</v>
      </c>
      <c r="E57" s="1135">
        <v>0</v>
      </c>
      <c r="F57" s="1134">
        <v>95320.22</v>
      </c>
      <c r="G57" s="1134">
        <v>95331</v>
      </c>
      <c r="H57" s="1134">
        <v>10.78</v>
      </c>
      <c r="I57" s="1135">
        <v>1E-4</v>
      </c>
    </row>
    <row r="58" spans="1:9">
      <c r="A58" s="1129" t="s">
        <v>1103</v>
      </c>
      <c r="B58" s="1134">
        <v>2755.67</v>
      </c>
      <c r="C58" s="1134">
        <v>2810</v>
      </c>
      <c r="D58" s="1134">
        <v>54.33</v>
      </c>
      <c r="E58" s="1135">
        <v>1.9300000000000001E-2</v>
      </c>
      <c r="F58" s="1134">
        <v>17853.259999999998</v>
      </c>
      <c r="G58" s="1134">
        <v>19670</v>
      </c>
      <c r="H58" s="1134">
        <v>1816.74</v>
      </c>
      <c r="I58" s="1135">
        <v>9.2399999999999996E-2</v>
      </c>
    </row>
    <row r="59" spans="1:9">
      <c r="A59" s="1129" t="s">
        <v>1104</v>
      </c>
      <c r="B59" s="1134">
        <v>0</v>
      </c>
      <c r="C59" s="1134">
        <v>1350</v>
      </c>
      <c r="D59" s="1134">
        <v>1350</v>
      </c>
      <c r="E59" s="1135">
        <v>1</v>
      </c>
      <c r="F59" s="1134">
        <v>6572.63</v>
      </c>
      <c r="G59" s="1134">
        <v>9450</v>
      </c>
      <c r="H59" s="1134">
        <v>2877.37</v>
      </c>
      <c r="I59" s="1135">
        <v>0.30449999999999999</v>
      </c>
    </row>
    <row r="60" spans="1:9">
      <c r="A60" s="1129" t="s">
        <v>1105</v>
      </c>
      <c r="B60" s="1134">
        <v>487.37</v>
      </c>
      <c r="C60" s="1134">
        <v>920</v>
      </c>
      <c r="D60" s="1134">
        <v>432.63</v>
      </c>
      <c r="E60" s="1135">
        <v>0.4703</v>
      </c>
      <c r="F60" s="1134">
        <v>29888.2</v>
      </c>
      <c r="G60" s="1134">
        <v>33960</v>
      </c>
      <c r="H60" s="1134">
        <v>4071.8</v>
      </c>
      <c r="I60" s="1135">
        <v>0.11990000000000001</v>
      </c>
    </row>
    <row r="61" spans="1:9">
      <c r="A61" s="1129" t="s">
        <v>1106</v>
      </c>
      <c r="B61" s="1134">
        <v>73.040000000000006</v>
      </c>
      <c r="C61" s="1134">
        <v>112</v>
      </c>
      <c r="D61" s="1134">
        <v>38.96</v>
      </c>
      <c r="E61" s="1135">
        <v>0.34789999999999999</v>
      </c>
      <c r="F61" s="1134">
        <v>510.89</v>
      </c>
      <c r="G61" s="1134">
        <v>784</v>
      </c>
      <c r="H61" s="1134">
        <v>273.11</v>
      </c>
      <c r="I61" s="1135">
        <v>0.34839999999999999</v>
      </c>
    </row>
    <row r="62" spans="1:9">
      <c r="A62" s="1129" t="s">
        <v>1107</v>
      </c>
      <c r="B62" s="1134">
        <v>10704.34</v>
      </c>
      <c r="C62" s="1134">
        <v>13250</v>
      </c>
      <c r="D62" s="1134">
        <v>2545.66</v>
      </c>
      <c r="E62" s="1135">
        <v>0.19209999999999999</v>
      </c>
      <c r="F62" s="1134">
        <v>47141.37</v>
      </c>
      <c r="G62" s="1134">
        <v>53000</v>
      </c>
      <c r="H62" s="1134">
        <v>5858.63</v>
      </c>
      <c r="I62" s="1135">
        <v>0.1105</v>
      </c>
    </row>
    <row r="63" spans="1:9">
      <c r="A63" s="1129" t="s">
        <v>1108</v>
      </c>
      <c r="B63" s="1134">
        <v>9014.83</v>
      </c>
      <c r="C63" s="1134">
        <v>8803</v>
      </c>
      <c r="D63" s="1134">
        <v>-211.83</v>
      </c>
      <c r="E63" s="1135">
        <v>-2.41E-2</v>
      </c>
      <c r="F63" s="1134">
        <v>78031.81</v>
      </c>
      <c r="G63" s="1134">
        <v>77821</v>
      </c>
      <c r="H63" s="1134">
        <v>-210.81</v>
      </c>
      <c r="I63" s="1135">
        <v>-2.7000000000000001E-3</v>
      </c>
    </row>
    <row r="64" spans="1:9">
      <c r="A64" s="1129" t="s">
        <v>1109</v>
      </c>
      <c r="B64" s="1134">
        <v>2891.13</v>
      </c>
      <c r="C64" s="1134">
        <v>3300</v>
      </c>
      <c r="D64" s="1134">
        <v>408.87</v>
      </c>
      <c r="E64" s="1135">
        <v>0.1239</v>
      </c>
      <c r="F64" s="1134">
        <v>21845.1</v>
      </c>
      <c r="G64" s="1134">
        <v>23100</v>
      </c>
      <c r="H64" s="1134">
        <v>1254.9000000000001</v>
      </c>
      <c r="I64" s="1135">
        <v>5.4300000000000001E-2</v>
      </c>
    </row>
    <row r="65" spans="1:9">
      <c r="A65" s="1129" t="s">
        <v>1110</v>
      </c>
      <c r="B65" s="1134">
        <v>73.040000000000006</v>
      </c>
      <c r="C65" s="1134">
        <v>80</v>
      </c>
      <c r="D65" s="1134">
        <v>6.96</v>
      </c>
      <c r="E65" s="1135">
        <v>8.6999999999999994E-2</v>
      </c>
      <c r="F65" s="1134">
        <v>510.89</v>
      </c>
      <c r="G65" s="1134">
        <v>560</v>
      </c>
      <c r="H65" s="1134">
        <v>49.11</v>
      </c>
      <c r="I65" s="1135">
        <v>8.77E-2</v>
      </c>
    </row>
    <row r="66" spans="1:9">
      <c r="A66" s="1129" t="s">
        <v>1111</v>
      </c>
      <c r="B66" s="1134">
        <v>10950.94</v>
      </c>
      <c r="C66" s="1134">
        <v>2542</v>
      </c>
      <c r="D66" s="1134">
        <v>-8408.94</v>
      </c>
      <c r="E66" s="1135">
        <v>-3.3079999999999998</v>
      </c>
      <c r="F66" s="1134">
        <v>15080.02</v>
      </c>
      <c r="G66" s="1134">
        <v>19094</v>
      </c>
      <c r="H66" s="1134">
        <v>4013.98</v>
      </c>
      <c r="I66" s="1135">
        <v>0.2102</v>
      </c>
    </row>
    <row r="67" spans="1:9">
      <c r="A67" s="1129" t="s">
        <v>1112</v>
      </c>
      <c r="B67" s="1134">
        <v>0</v>
      </c>
      <c r="C67" s="1134">
        <v>5400</v>
      </c>
      <c r="D67" s="1134">
        <v>5400</v>
      </c>
      <c r="E67" s="1135">
        <v>1</v>
      </c>
      <c r="F67" s="1134">
        <v>24656.81</v>
      </c>
      <c r="G67" s="1134">
        <v>37800</v>
      </c>
      <c r="H67" s="1134">
        <v>13143.19</v>
      </c>
      <c r="I67" s="1135">
        <v>0.34770000000000001</v>
      </c>
    </row>
    <row r="68" spans="1:9">
      <c r="A68" s="1129" t="s">
        <v>1113</v>
      </c>
      <c r="B68" s="1136">
        <v>12369.08</v>
      </c>
      <c r="C68" s="1136">
        <v>14688</v>
      </c>
      <c r="D68" s="1136">
        <v>2318.92</v>
      </c>
      <c r="E68" s="1135">
        <v>0.15790000000000001</v>
      </c>
      <c r="F68" s="1136">
        <v>101355.24</v>
      </c>
      <c r="G68" s="1136">
        <v>98856</v>
      </c>
      <c r="H68" s="1136">
        <v>-2499.2399999999998</v>
      </c>
      <c r="I68" s="1137">
        <v>-2.53E-2</v>
      </c>
    </row>
    <row r="69" spans="1:9">
      <c r="A69" s="1129" t="s">
        <v>1114</v>
      </c>
      <c r="B69" s="1134">
        <v>116282.89</v>
      </c>
      <c r="C69" s="1134">
        <v>128388.91</v>
      </c>
      <c r="D69" s="1134">
        <v>12106.02</v>
      </c>
      <c r="E69" s="1135">
        <v>9.4299999999999995E-2</v>
      </c>
      <c r="F69" s="1134">
        <v>941227.31</v>
      </c>
      <c r="G69" s="1134">
        <v>1032963.47</v>
      </c>
      <c r="H69" s="1134">
        <v>91736.16</v>
      </c>
      <c r="I69" s="1135">
        <v>8.8800000000000004E-2</v>
      </c>
    </row>
    <row r="70" spans="1:9" ht="15">
      <c r="A70" s="1128"/>
      <c r="B70" s="1138"/>
      <c r="C70" s="1138"/>
      <c r="D70" s="1138"/>
      <c r="E70" s="1128"/>
      <c r="F70" s="1138"/>
      <c r="G70" s="1138"/>
      <c r="H70" s="1138"/>
      <c r="I70" s="1138"/>
    </row>
    <row r="71" spans="1:9">
      <c r="A71" s="1129" t="s">
        <v>1115</v>
      </c>
      <c r="B71" s="1134">
        <v>96298.92</v>
      </c>
      <c r="C71" s="1134">
        <v>212418.09</v>
      </c>
      <c r="D71" s="1134">
        <v>-116119.17</v>
      </c>
      <c r="E71" s="1135">
        <v>-0.54669999999999996</v>
      </c>
      <c r="F71" s="1134">
        <v>1142672.3500000001</v>
      </c>
      <c r="G71" s="1134">
        <v>1183357.53</v>
      </c>
      <c r="H71" s="1134">
        <v>-40685.18</v>
      </c>
      <c r="I71" s="1135">
        <v>-3.44E-2</v>
      </c>
    </row>
    <row r="72" spans="1:9">
      <c r="A72" s="1122"/>
      <c r="B72" s="1123"/>
      <c r="C72" s="1123"/>
      <c r="D72" s="1123"/>
      <c r="E72" s="1124"/>
      <c r="F72" s="1123"/>
      <c r="G72" s="1123"/>
      <c r="H72" s="1123"/>
      <c r="I72" s="1124"/>
    </row>
    <row r="73" spans="1:9" ht="15">
      <c r="A73" s="1129" t="s">
        <v>1116</v>
      </c>
      <c r="B73" s="1128"/>
      <c r="C73" s="1128"/>
      <c r="D73" s="1128"/>
      <c r="E73" s="1128"/>
      <c r="F73" s="1128"/>
      <c r="G73" s="1128"/>
      <c r="H73" s="1128"/>
      <c r="I73" s="1128"/>
    </row>
    <row r="74" spans="1:9">
      <c r="A74" s="1129" t="s">
        <v>1490</v>
      </c>
      <c r="B74" s="1134">
        <v>0</v>
      </c>
      <c r="C74" s="1134">
        <v>0</v>
      </c>
      <c r="D74" s="1134">
        <v>0</v>
      </c>
      <c r="E74" s="1135">
        <v>0</v>
      </c>
      <c r="F74" s="1134">
        <v>552.16999999999996</v>
      </c>
      <c r="G74" s="1134">
        <v>2000</v>
      </c>
      <c r="H74" s="1134">
        <v>1447.83</v>
      </c>
      <c r="I74" s="1135">
        <v>0.72389999999999999</v>
      </c>
    </row>
    <row r="75" spans="1:9">
      <c r="A75" s="1129" t="s">
        <v>1475</v>
      </c>
      <c r="B75" s="1134">
        <v>3220</v>
      </c>
      <c r="C75" s="1134">
        <v>0</v>
      </c>
      <c r="D75" s="1134">
        <v>-3220</v>
      </c>
      <c r="E75" s="1135">
        <v>0</v>
      </c>
      <c r="F75" s="1134">
        <v>5968.75</v>
      </c>
      <c r="G75" s="1134">
        <v>1000</v>
      </c>
      <c r="H75" s="1134">
        <v>-4968.75</v>
      </c>
      <c r="I75" s="1135">
        <v>-4.9687999999999999</v>
      </c>
    </row>
    <row r="76" spans="1:9">
      <c r="A76" s="1129" t="s">
        <v>1117</v>
      </c>
      <c r="B76" s="1134">
        <v>3927.72</v>
      </c>
      <c r="C76" s="1134">
        <v>0</v>
      </c>
      <c r="D76" s="1134">
        <v>-3927.72</v>
      </c>
      <c r="E76" s="1135">
        <v>0</v>
      </c>
      <c r="F76" s="1134">
        <v>13310.96</v>
      </c>
      <c r="G76" s="1134">
        <v>3000</v>
      </c>
      <c r="H76" s="1134">
        <v>-10310.959999999999</v>
      </c>
      <c r="I76" s="1135">
        <v>-3.4369999999999998</v>
      </c>
    </row>
    <row r="77" spans="1:9">
      <c r="A77" s="1129" t="s">
        <v>1118</v>
      </c>
      <c r="B77" s="1134">
        <v>3125</v>
      </c>
      <c r="C77" s="1134">
        <v>4475</v>
      </c>
      <c r="D77" s="1134">
        <v>1350</v>
      </c>
      <c r="E77" s="1135">
        <v>0.30170000000000002</v>
      </c>
      <c r="F77" s="1134">
        <v>27225</v>
      </c>
      <c r="G77" s="1134">
        <v>31425</v>
      </c>
      <c r="H77" s="1134">
        <v>4200</v>
      </c>
      <c r="I77" s="1135">
        <v>0.13370000000000001</v>
      </c>
    </row>
    <row r="78" spans="1:9">
      <c r="A78" s="1129" t="s">
        <v>1119</v>
      </c>
      <c r="B78" s="1134">
        <v>30</v>
      </c>
      <c r="C78" s="1134">
        <v>50</v>
      </c>
      <c r="D78" s="1134">
        <v>20</v>
      </c>
      <c r="E78" s="1135">
        <v>0.4</v>
      </c>
      <c r="F78" s="1134">
        <v>230.5</v>
      </c>
      <c r="G78" s="1134">
        <v>350</v>
      </c>
      <c r="H78" s="1134">
        <v>119.5</v>
      </c>
      <c r="I78" s="1135">
        <v>0.34139999999999998</v>
      </c>
    </row>
    <row r="79" spans="1:9">
      <c r="A79" s="1129" t="s">
        <v>1120</v>
      </c>
      <c r="B79" s="1134">
        <v>0</v>
      </c>
      <c r="C79" s="1134">
        <v>500</v>
      </c>
      <c r="D79" s="1134">
        <v>500</v>
      </c>
      <c r="E79" s="1135">
        <v>1</v>
      </c>
      <c r="F79" s="1134">
        <v>147.22999999999999</v>
      </c>
      <c r="G79" s="1134">
        <v>3500</v>
      </c>
      <c r="H79" s="1134">
        <v>3352.77</v>
      </c>
      <c r="I79" s="1135">
        <v>0.95789999999999997</v>
      </c>
    </row>
    <row r="80" spans="1:9">
      <c r="A80" s="1129" t="s">
        <v>1476</v>
      </c>
      <c r="B80" s="1134">
        <v>0</v>
      </c>
      <c r="C80" s="1134">
        <v>0</v>
      </c>
      <c r="D80" s="1134">
        <v>0</v>
      </c>
      <c r="E80" s="1135">
        <v>0</v>
      </c>
      <c r="F80" s="1134">
        <v>1606.04</v>
      </c>
      <c r="G80" s="1134">
        <v>1000</v>
      </c>
      <c r="H80" s="1134">
        <v>-606.04</v>
      </c>
      <c r="I80" s="1135">
        <v>-0.60599999999999998</v>
      </c>
    </row>
    <row r="81" spans="1:9">
      <c r="A81" s="1129" t="s">
        <v>1505</v>
      </c>
      <c r="B81" s="1134">
        <v>0</v>
      </c>
      <c r="C81" s="1134">
        <v>0</v>
      </c>
      <c r="D81" s="1134">
        <v>0</v>
      </c>
      <c r="E81" s="1135">
        <v>0</v>
      </c>
      <c r="F81" s="1134">
        <v>500</v>
      </c>
      <c r="G81" s="1134">
        <v>2800</v>
      </c>
      <c r="H81" s="1134">
        <v>2300</v>
      </c>
      <c r="I81" s="1135">
        <v>0.82140000000000002</v>
      </c>
    </row>
    <row r="82" spans="1:9">
      <c r="A82" s="1129" t="s">
        <v>1506</v>
      </c>
      <c r="B82" s="1134">
        <v>0</v>
      </c>
      <c r="C82" s="1134">
        <v>0</v>
      </c>
      <c r="D82" s="1134">
        <v>0</v>
      </c>
      <c r="E82" s="1135">
        <v>0</v>
      </c>
      <c r="F82" s="1134">
        <v>1296</v>
      </c>
      <c r="G82" s="1134">
        <v>0</v>
      </c>
      <c r="H82" s="1134">
        <v>-1296</v>
      </c>
      <c r="I82" s="1135">
        <v>0</v>
      </c>
    </row>
    <row r="83" spans="1:9">
      <c r="A83" s="1129" t="s">
        <v>1310</v>
      </c>
      <c r="B83" s="1136">
        <v>239946.6</v>
      </c>
      <c r="C83" s="1136">
        <v>0</v>
      </c>
      <c r="D83" s="1136">
        <v>-239946.6</v>
      </c>
      <c r="E83" s="1135">
        <v>0</v>
      </c>
      <c r="F83" s="1136">
        <v>-157053.51</v>
      </c>
      <c r="G83" s="1136">
        <v>0</v>
      </c>
      <c r="H83" s="1136">
        <v>157053.51</v>
      </c>
      <c r="I83" s="1137">
        <v>0</v>
      </c>
    </row>
    <row r="84" spans="1:9">
      <c r="A84" s="1129" t="s">
        <v>1121</v>
      </c>
      <c r="B84" s="1134">
        <v>250249.32</v>
      </c>
      <c r="C84" s="1134">
        <v>5025</v>
      </c>
      <c r="D84" s="1134">
        <v>-245224.32000000001</v>
      </c>
      <c r="E84" s="1135">
        <v>-48.800899999999999</v>
      </c>
      <c r="F84" s="1134">
        <v>-106216.86</v>
      </c>
      <c r="G84" s="1134">
        <v>45075</v>
      </c>
      <c r="H84" s="1134">
        <v>151291.85999999999</v>
      </c>
      <c r="I84" s="1135">
        <v>3.3563999999999998</v>
      </c>
    </row>
    <row r="85" spans="1:9" ht="15">
      <c r="A85" s="1128"/>
      <c r="B85" s="1138"/>
      <c r="C85" s="1138"/>
      <c r="D85" s="1138"/>
      <c r="E85" s="1128"/>
      <c r="F85" s="1138"/>
      <c r="G85" s="1138"/>
      <c r="H85" s="1138"/>
      <c r="I85" s="1138"/>
    </row>
    <row r="86" spans="1:9">
      <c r="A86" s="1129" t="s">
        <v>1521</v>
      </c>
      <c r="B86" s="1134">
        <v>-153950.39999999999</v>
      </c>
      <c r="C86" s="1134">
        <v>207393.09</v>
      </c>
      <c r="D86" s="1134">
        <v>-361343.49</v>
      </c>
      <c r="E86" s="1135">
        <v>-1.7423</v>
      </c>
      <c r="F86" s="1134">
        <v>1248889.21</v>
      </c>
      <c r="G86" s="1134">
        <v>1138282.53</v>
      </c>
      <c r="H86" s="1134">
        <v>110606.68</v>
      </c>
      <c r="I86" s="1135">
        <v>9.7199999999999995E-2</v>
      </c>
    </row>
    <row r="87" spans="1:9">
      <c r="A87" s="1122"/>
      <c r="B87" s="1123"/>
      <c r="C87" s="1123"/>
      <c r="D87" s="1123"/>
      <c r="E87" s="1124"/>
      <c r="F87" s="1123"/>
      <c r="G87" s="1123"/>
      <c r="H87" s="1123"/>
      <c r="I87" s="1124"/>
    </row>
    <row r="88" spans="1:9" ht="15">
      <c r="A88" s="1129" t="s">
        <v>1522</v>
      </c>
      <c r="B88" s="1128"/>
      <c r="C88" s="1128"/>
      <c r="D88" s="1128"/>
      <c r="E88" s="1128"/>
      <c r="F88" s="1128"/>
      <c r="G88" s="1128"/>
      <c r="H88" s="1128"/>
      <c r="I88" s="1128"/>
    </row>
    <row r="89" spans="1:9">
      <c r="A89" s="1129" t="s">
        <v>1122</v>
      </c>
      <c r="B89" s="1134">
        <v>10629.09</v>
      </c>
      <c r="C89" s="1134">
        <v>18458</v>
      </c>
      <c r="D89" s="1134">
        <v>7828.91</v>
      </c>
      <c r="E89" s="1135">
        <v>0.42409999999999998</v>
      </c>
      <c r="F89" s="1134">
        <v>111321.52</v>
      </c>
      <c r="G89" s="1134">
        <v>120058</v>
      </c>
      <c r="H89" s="1134">
        <v>8736.48</v>
      </c>
      <c r="I89" s="1135">
        <v>7.2800000000000004E-2</v>
      </c>
    </row>
    <row r="90" spans="1:9">
      <c r="A90" s="1129" t="s">
        <v>1507</v>
      </c>
      <c r="B90" s="1136">
        <v>0</v>
      </c>
      <c r="C90" s="1136">
        <v>0</v>
      </c>
      <c r="D90" s="1136">
        <v>0</v>
      </c>
      <c r="E90" s="1135">
        <v>0</v>
      </c>
      <c r="F90" s="1136">
        <v>0</v>
      </c>
      <c r="G90" s="1136">
        <v>800</v>
      </c>
      <c r="H90" s="1136">
        <v>800</v>
      </c>
      <c r="I90" s="1137">
        <v>1</v>
      </c>
    </row>
    <row r="91" spans="1:9">
      <c r="A91" s="1129" t="s">
        <v>1523</v>
      </c>
      <c r="B91" s="1134">
        <v>10629.09</v>
      </c>
      <c r="C91" s="1134">
        <v>18458</v>
      </c>
      <c r="D91" s="1134">
        <v>7828.91</v>
      </c>
      <c r="E91" s="1135">
        <v>0.42409999999999998</v>
      </c>
      <c r="F91" s="1134">
        <v>111321.52</v>
      </c>
      <c r="G91" s="1134">
        <v>120858</v>
      </c>
      <c r="H91" s="1134">
        <v>9536.48</v>
      </c>
      <c r="I91" s="1135">
        <v>7.8899999999999998E-2</v>
      </c>
    </row>
    <row r="92" spans="1:9" ht="15">
      <c r="A92" s="1128"/>
      <c r="B92" s="1138"/>
      <c r="C92" s="1138"/>
      <c r="D92" s="1138"/>
      <c r="E92" s="1128"/>
      <c r="F92" s="1138"/>
      <c r="G92" s="1138"/>
      <c r="H92" s="1138"/>
      <c r="I92" s="1138"/>
    </row>
    <row r="93" spans="1:9">
      <c r="A93" s="1129" t="s">
        <v>1524</v>
      </c>
      <c r="B93" s="1134">
        <v>-164579.49</v>
      </c>
      <c r="C93" s="1134">
        <v>188935.09</v>
      </c>
      <c r="D93" s="1134">
        <v>-353514.58</v>
      </c>
      <c r="E93" s="1135">
        <v>-1.8711</v>
      </c>
      <c r="F93" s="1134">
        <v>1137567.69</v>
      </c>
      <c r="G93" s="1134">
        <v>1017424.53</v>
      </c>
      <c r="H93" s="1134">
        <v>120143.16</v>
      </c>
      <c r="I93" s="1135">
        <v>0.1181</v>
      </c>
    </row>
    <row r="94" spans="1:9">
      <c r="A94" s="1122"/>
      <c r="B94" s="1123"/>
      <c r="C94" s="1123"/>
      <c r="D94" s="1123"/>
      <c r="E94" s="1124"/>
      <c r="F94" s="1123"/>
      <c r="G94" s="1123"/>
      <c r="H94" s="1123"/>
      <c r="I94" s="1124"/>
    </row>
    <row r="95" spans="1:9" ht="15">
      <c r="A95" s="1129" t="s">
        <v>1123</v>
      </c>
      <c r="B95" s="1128"/>
      <c r="C95" s="1128"/>
      <c r="D95" s="1128"/>
      <c r="E95" s="1128"/>
      <c r="F95" s="1128"/>
      <c r="G95" s="1128"/>
      <c r="H95" s="1128"/>
      <c r="I95" s="1128"/>
    </row>
    <row r="96" spans="1:9">
      <c r="A96" s="1129" t="s">
        <v>1124</v>
      </c>
      <c r="B96" s="1134">
        <v>134340.72</v>
      </c>
      <c r="C96" s="1134">
        <v>155000</v>
      </c>
      <c r="D96" s="1134">
        <v>20659.28</v>
      </c>
      <c r="E96" s="1135">
        <v>0.1333</v>
      </c>
      <c r="F96" s="1134">
        <v>963555.66</v>
      </c>
      <c r="G96" s="1134">
        <v>1085000</v>
      </c>
      <c r="H96" s="1134">
        <v>121444.34</v>
      </c>
      <c r="I96" s="1135">
        <v>0.1119</v>
      </c>
    </row>
    <row r="97" spans="1:9">
      <c r="A97" s="1129" t="s">
        <v>1296</v>
      </c>
      <c r="B97" s="1136">
        <v>5833</v>
      </c>
      <c r="C97" s="1136">
        <v>5833</v>
      </c>
      <c r="D97" s="1136">
        <v>0</v>
      </c>
      <c r="E97" s="1135">
        <v>0</v>
      </c>
      <c r="F97" s="1136">
        <v>40831</v>
      </c>
      <c r="G97" s="1136">
        <v>40831</v>
      </c>
      <c r="H97" s="1136">
        <v>0</v>
      </c>
      <c r="I97" s="1137">
        <v>0</v>
      </c>
    </row>
    <row r="98" spans="1:9">
      <c r="A98" s="1129" t="s">
        <v>1125</v>
      </c>
      <c r="B98" s="1134">
        <v>140173.72</v>
      </c>
      <c r="C98" s="1134">
        <v>160833</v>
      </c>
      <c r="D98" s="1134">
        <v>20659.28</v>
      </c>
      <c r="E98" s="1135">
        <v>0.1285</v>
      </c>
      <c r="F98" s="1134">
        <v>1004386.66</v>
      </c>
      <c r="G98" s="1134">
        <v>1125831</v>
      </c>
      <c r="H98" s="1134">
        <v>121444.34</v>
      </c>
      <c r="I98" s="1135">
        <v>0.1079</v>
      </c>
    </row>
    <row r="99" spans="1:9" ht="15">
      <c r="A99" s="1128"/>
      <c r="B99" s="1138"/>
      <c r="C99" s="1138"/>
      <c r="D99" s="1138"/>
      <c r="E99" s="1128"/>
      <c r="F99" s="1138"/>
      <c r="G99" s="1138"/>
      <c r="H99" s="1138"/>
      <c r="I99" s="1138"/>
    </row>
    <row r="100" spans="1:9">
      <c r="A100" s="1129" t="s">
        <v>1525</v>
      </c>
      <c r="B100" s="1134">
        <v>-304753.21000000002</v>
      </c>
      <c r="C100" s="1134">
        <v>28102.09</v>
      </c>
      <c r="D100" s="1134">
        <v>-332855.3</v>
      </c>
      <c r="E100" s="1135">
        <v>-11.8445</v>
      </c>
      <c r="F100" s="1134">
        <v>133181.03</v>
      </c>
      <c r="G100" s="1134">
        <v>-108406.47</v>
      </c>
      <c r="H100" s="1134">
        <v>241587.5</v>
      </c>
      <c r="I100" s="1135">
        <v>2.2284999999999999</v>
      </c>
    </row>
    <row r="101" spans="1:9" ht="15">
      <c r="A101" s="1128"/>
      <c r="B101" s="1138"/>
      <c r="C101" s="1138"/>
      <c r="D101" s="1138"/>
      <c r="E101" s="1128"/>
      <c r="F101" s="1138"/>
      <c r="G101" s="1138"/>
      <c r="H101" s="1138"/>
      <c r="I101" s="1138"/>
    </row>
    <row r="102" spans="1:9">
      <c r="A102" s="1129" t="s">
        <v>1126</v>
      </c>
      <c r="B102" s="1134">
        <v>-304753.21000000002</v>
      </c>
      <c r="C102" s="1134">
        <v>28102.09</v>
      </c>
      <c r="D102" s="1134">
        <v>-332855.3</v>
      </c>
      <c r="E102" s="1135">
        <v>-11.8445</v>
      </c>
      <c r="F102" s="1134">
        <v>133181.03</v>
      </c>
      <c r="G102" s="1134">
        <v>-108406.47</v>
      </c>
      <c r="H102" s="1134">
        <v>241587.5</v>
      </c>
      <c r="I102" s="1135">
        <v>2.2284999999999999</v>
      </c>
    </row>
    <row r="103" spans="1:9">
      <c r="A103" s="1122"/>
      <c r="B103" s="1123"/>
      <c r="C103" s="1123"/>
      <c r="D103" s="1123"/>
      <c r="E103" s="1124"/>
      <c r="F103" s="1123"/>
      <c r="G103" s="1123"/>
      <c r="H103" s="1123"/>
      <c r="I103" s="1124"/>
    </row>
    <row r="104" spans="1:9" ht="15">
      <c r="A104" s="1129" t="s">
        <v>1477</v>
      </c>
      <c r="B104" s="1128"/>
      <c r="C104" s="1128"/>
      <c r="D104" s="1128"/>
      <c r="E104" s="1128"/>
      <c r="F104" s="1128"/>
      <c r="G104" s="1128"/>
      <c r="H104" s="1128"/>
      <c r="I104" s="1128"/>
    </row>
    <row r="105" spans="1:9">
      <c r="A105" s="1129" t="s">
        <v>1526</v>
      </c>
      <c r="B105" s="1134">
        <v>-300000</v>
      </c>
      <c r="C105" s="1134">
        <v>0</v>
      </c>
      <c r="D105" s="1134">
        <v>300000</v>
      </c>
      <c r="E105" s="1135">
        <v>0</v>
      </c>
      <c r="F105" s="1134">
        <v>0</v>
      </c>
      <c r="G105" s="1134">
        <v>0</v>
      </c>
      <c r="H105" s="1134">
        <v>0</v>
      </c>
      <c r="I105" s="1135">
        <v>0</v>
      </c>
    </row>
    <row r="106" spans="1:9">
      <c r="A106" s="1129" t="s">
        <v>1508</v>
      </c>
      <c r="B106" s="1134">
        <v>0</v>
      </c>
      <c r="C106" s="1134">
        <v>0</v>
      </c>
      <c r="D106" s="1134">
        <v>0</v>
      </c>
      <c r="E106" s="1135">
        <v>0</v>
      </c>
      <c r="F106" s="1134">
        <v>58984.23</v>
      </c>
      <c r="G106" s="1134">
        <v>0</v>
      </c>
      <c r="H106" s="1134">
        <v>-58984.23</v>
      </c>
      <c r="I106" s="1135">
        <v>0</v>
      </c>
    </row>
    <row r="107" spans="1:9">
      <c r="A107" s="1129" t="s">
        <v>1478</v>
      </c>
      <c r="B107" s="1134">
        <v>0</v>
      </c>
      <c r="C107" s="1134">
        <v>0</v>
      </c>
      <c r="D107" s="1134">
        <v>0</v>
      </c>
      <c r="E107" s="1135">
        <v>0</v>
      </c>
      <c r="F107" s="1134">
        <v>0</v>
      </c>
      <c r="G107" s="1134">
        <v>353334</v>
      </c>
      <c r="H107" s="1134">
        <v>353334</v>
      </c>
      <c r="I107" s="1135">
        <v>1</v>
      </c>
    </row>
    <row r="108" spans="1:9">
      <c r="A108" s="1129" t="s">
        <v>1491</v>
      </c>
      <c r="B108" s="1134">
        <v>0</v>
      </c>
      <c r="C108" s="1134">
        <v>0</v>
      </c>
      <c r="D108" s="1134">
        <v>0</v>
      </c>
      <c r="E108" s="1135">
        <v>0</v>
      </c>
      <c r="F108" s="1134">
        <v>3480.51</v>
      </c>
      <c r="G108" s="1134">
        <v>0</v>
      </c>
      <c r="H108" s="1134">
        <v>-3480.51</v>
      </c>
      <c r="I108" s="1135">
        <v>0</v>
      </c>
    </row>
    <row r="109" spans="1:9">
      <c r="A109" s="1129" t="s">
        <v>1492</v>
      </c>
      <c r="B109" s="1136">
        <v>0</v>
      </c>
      <c r="C109" s="1136">
        <v>0</v>
      </c>
      <c r="D109" s="1136">
        <v>0</v>
      </c>
      <c r="E109" s="1135">
        <v>0</v>
      </c>
      <c r="F109" s="1136">
        <v>35000</v>
      </c>
      <c r="G109" s="1136">
        <v>0</v>
      </c>
      <c r="H109" s="1136">
        <v>-35000</v>
      </c>
      <c r="I109" s="1137">
        <v>0</v>
      </c>
    </row>
    <row r="110" spans="1:9" ht="15">
      <c r="A110" s="1129" t="s">
        <v>1479</v>
      </c>
      <c r="B110" s="1134">
        <v>-300000</v>
      </c>
      <c r="C110" s="1134">
        <v>0</v>
      </c>
      <c r="D110" s="1134">
        <v>300000</v>
      </c>
      <c r="E110" s="1128"/>
      <c r="F110" s="1134">
        <v>97464.74</v>
      </c>
      <c r="G110" s="1134">
        <v>353334</v>
      </c>
      <c r="H110" s="1134">
        <v>255869.26</v>
      </c>
      <c r="I110" s="1135">
        <v>0.72419999999999995</v>
      </c>
    </row>
    <row r="111" spans="1:9" ht="15">
      <c r="A111" s="1128"/>
      <c r="B111" s="1138"/>
      <c r="C111" s="1138"/>
      <c r="D111" s="1138"/>
      <c r="E111" s="1128"/>
      <c r="F111" s="1138"/>
      <c r="G111" s="1138"/>
      <c r="H111" s="1138"/>
      <c r="I111" s="1138"/>
    </row>
    <row r="112" spans="1:9" ht="13.5" thickBot="1">
      <c r="A112" s="1129" t="s">
        <v>1286</v>
      </c>
      <c r="B112" s="1139">
        <v>-4753.21</v>
      </c>
      <c r="C112" s="1139">
        <v>28102.09</v>
      </c>
      <c r="D112" s="1139">
        <v>-32855.300000000003</v>
      </c>
      <c r="E112" s="1135">
        <v>-1.1691</v>
      </c>
      <c r="F112" s="1139">
        <v>35716.29</v>
      </c>
      <c r="G112" s="1139">
        <v>-461740.47</v>
      </c>
      <c r="H112" s="1139">
        <v>497456.76</v>
      </c>
      <c r="I112" s="1140">
        <v>1.0773999999999999</v>
      </c>
    </row>
    <row r="113" spans="1:9" ht="13.5" thickTop="1">
      <c r="A113" s="1063"/>
      <c r="B113" s="1064"/>
      <c r="C113" s="1064"/>
      <c r="D113" s="1064"/>
      <c r="E113" s="1065"/>
      <c r="F113" s="1064"/>
      <c r="G113" s="1064"/>
      <c r="H113" s="1064"/>
      <c r="I113" s="1065"/>
    </row>
    <row r="114" spans="1:9">
      <c r="A114" s="1063"/>
      <c r="B114" s="1064"/>
      <c r="C114" s="1064"/>
      <c r="D114" s="1064"/>
      <c r="E114" s="1065"/>
      <c r="F114" s="1064"/>
      <c r="G114" s="1064"/>
      <c r="H114" s="1064"/>
      <c r="I114" s="1065"/>
    </row>
    <row r="115" spans="1:9">
      <c r="A115" s="1063"/>
      <c r="B115" s="1066"/>
      <c r="C115" s="1066"/>
      <c r="D115" s="1066"/>
      <c r="E115" s="1065"/>
      <c r="F115" s="1066"/>
      <c r="G115" s="1066"/>
      <c r="H115" s="1066"/>
      <c r="I115" s="1067"/>
    </row>
    <row r="116" spans="1:9">
      <c r="A116" s="1063"/>
      <c r="B116" s="1064"/>
      <c r="C116" s="1064"/>
      <c r="D116" s="1064"/>
      <c r="E116" s="1065"/>
      <c r="F116" s="1064"/>
      <c r="G116" s="1064"/>
      <c r="H116" s="1064"/>
      <c r="I116" s="1065"/>
    </row>
    <row r="117" spans="1:9" ht="15">
      <c r="A117" s="1062"/>
      <c r="B117" s="1068"/>
      <c r="C117" s="1068"/>
      <c r="D117" s="1068"/>
      <c r="E117" s="1062"/>
      <c r="F117" s="1068"/>
      <c r="G117" s="1068"/>
      <c r="H117" s="1068"/>
      <c r="I117" s="1068"/>
    </row>
    <row r="118" spans="1:9" ht="13.5" thickBot="1">
      <c r="A118" s="1063"/>
      <c r="B118" s="1069"/>
      <c r="C118" s="1069"/>
      <c r="D118" s="1069"/>
      <c r="E118" s="1065"/>
      <c r="F118" s="1069"/>
      <c r="G118" s="1069"/>
      <c r="H118" s="1069"/>
      <c r="I118" s="1070"/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2E807-FF22-44C2-B29B-DDB4F5F13AB1}">
  <sheetPr codeName="Sheet78"/>
  <dimension ref="A1:R27"/>
  <sheetViews>
    <sheetView zoomScale="85" zoomScaleNormal="85" workbookViewId="0"/>
  </sheetViews>
  <sheetFormatPr defaultRowHeight="12.75"/>
  <cols>
    <col min="1" max="1" width="24.85546875" bestFit="1" customWidth="1"/>
    <col min="2" max="2" width="9.85546875" bestFit="1" customWidth="1"/>
    <col min="3" max="3" width="1.5703125" customWidth="1"/>
    <col min="4" max="4" width="13.85546875" bestFit="1" customWidth="1"/>
    <col min="5" max="5" width="10.140625" bestFit="1" customWidth="1"/>
    <col min="6" max="6" width="8.42578125" bestFit="1" customWidth="1"/>
    <col min="7" max="7" width="18.42578125" bestFit="1" customWidth="1"/>
    <col min="8" max="8" width="9.140625" bestFit="1" customWidth="1"/>
    <col min="9" max="9" width="7" bestFit="1" customWidth="1"/>
    <col min="10" max="10" width="10" bestFit="1" customWidth="1"/>
    <col min="11" max="11" width="9.7109375" bestFit="1" customWidth="1"/>
  </cols>
  <sheetData>
    <row r="1" spans="1:18" ht="15">
      <c r="A1" s="1143" t="s">
        <v>1284</v>
      </c>
      <c r="B1" s="1141"/>
      <c r="C1" s="1141"/>
      <c r="D1" s="1141"/>
      <c r="E1" s="1141"/>
      <c r="F1" s="1141"/>
      <c r="G1" s="1141"/>
      <c r="H1" s="1141"/>
      <c r="I1" s="1141"/>
      <c r="J1" s="1141"/>
      <c r="K1" s="1141"/>
      <c r="M1" s="802"/>
      <c r="O1" s="730"/>
      <c r="P1" s="632"/>
      <c r="Q1" s="632"/>
      <c r="R1" s="632"/>
    </row>
    <row r="2" spans="1:18" ht="15">
      <c r="A2" s="1143" t="s">
        <v>1127</v>
      </c>
      <c r="B2" s="1141"/>
      <c r="C2" s="1141"/>
      <c r="D2" s="1147" t="s">
        <v>1128</v>
      </c>
      <c r="E2" s="1147" t="s">
        <v>1129</v>
      </c>
      <c r="F2" s="1141"/>
      <c r="G2" s="1147" t="s">
        <v>1130</v>
      </c>
      <c r="H2" s="1143" t="s">
        <v>1131</v>
      </c>
      <c r="I2" s="1143" t="s">
        <v>1132</v>
      </c>
      <c r="J2" s="1143" t="s">
        <v>1133</v>
      </c>
      <c r="K2" s="1143" t="s">
        <v>1134</v>
      </c>
      <c r="M2" s="802"/>
    </row>
    <row r="3" spans="1:18" ht="15">
      <c r="A3" s="1142" t="s">
        <v>1016</v>
      </c>
      <c r="B3" s="1141"/>
      <c r="C3" s="1141"/>
      <c r="D3" s="1148">
        <v>171489.24</v>
      </c>
      <c r="E3" s="1148">
        <v>10495.51</v>
      </c>
      <c r="F3" s="1144">
        <v>162704.66</v>
      </c>
      <c r="G3" s="1148">
        <v>112929.37</v>
      </c>
      <c r="H3" s="1144">
        <v>0</v>
      </c>
      <c r="I3" s="1144">
        <v>0</v>
      </c>
      <c r="J3" s="1144">
        <v>60270.8</v>
      </c>
      <c r="K3" s="1141"/>
      <c r="M3" s="802"/>
    </row>
    <row r="4" spans="1:18" ht="15">
      <c r="A4" s="1142" t="s">
        <v>1024</v>
      </c>
      <c r="B4" s="1141"/>
      <c r="C4" s="1141"/>
      <c r="D4" s="1148">
        <v>55013.55</v>
      </c>
      <c r="E4" s="1148">
        <v>4960.43</v>
      </c>
      <c r="F4" s="1144">
        <v>48538.45</v>
      </c>
      <c r="G4" s="1148">
        <v>32356.92</v>
      </c>
      <c r="H4" s="1144">
        <v>0</v>
      </c>
      <c r="I4" s="1144">
        <v>0</v>
      </c>
      <c r="J4" s="1144">
        <v>21141.96</v>
      </c>
      <c r="K4" s="1141"/>
      <c r="M4" s="802"/>
    </row>
    <row r="5" spans="1:18" ht="15">
      <c r="A5" s="1142" t="s">
        <v>1043</v>
      </c>
      <c r="B5" s="1141"/>
      <c r="C5" s="1141"/>
      <c r="D5" s="1148">
        <v>12478.62</v>
      </c>
      <c r="E5" s="1148">
        <v>-1584.43</v>
      </c>
      <c r="F5" s="1144">
        <v>13545.34</v>
      </c>
      <c r="G5" s="1148">
        <v>7385.74</v>
      </c>
      <c r="H5" s="1144">
        <v>0</v>
      </c>
      <c r="I5" s="1144">
        <v>0</v>
      </c>
      <c r="J5" s="1144">
        <v>4575.17</v>
      </c>
      <c r="K5" s="1141"/>
      <c r="M5" s="802"/>
    </row>
    <row r="6" spans="1:18" ht="15">
      <c r="A6" s="1142" t="s">
        <v>1032</v>
      </c>
      <c r="B6" s="1141"/>
      <c r="C6" s="1141"/>
      <c r="D6" s="1148">
        <v>11367.61</v>
      </c>
      <c r="E6" s="1148">
        <v>525.29</v>
      </c>
      <c r="F6" s="1144">
        <v>9677.5400000000009</v>
      </c>
      <c r="G6" s="1148">
        <v>4101.76</v>
      </c>
      <c r="H6" s="1144">
        <v>0</v>
      </c>
      <c r="I6" s="1144">
        <v>0</v>
      </c>
      <c r="J6" s="1144">
        <v>6101.07</v>
      </c>
      <c r="K6" s="1141"/>
      <c r="M6" s="802"/>
    </row>
    <row r="7" spans="1:18" ht="15">
      <c r="A7" s="1142" t="s">
        <v>1036</v>
      </c>
      <c r="B7" s="1141"/>
      <c r="C7" s="1141"/>
      <c r="D7" s="1148">
        <v>10838.32</v>
      </c>
      <c r="E7" s="1148">
        <v>915.18</v>
      </c>
      <c r="F7" s="1144">
        <v>10677.98</v>
      </c>
      <c r="G7" s="1148">
        <v>5722.39</v>
      </c>
      <c r="H7" s="1144">
        <v>0</v>
      </c>
      <c r="I7" s="1144">
        <v>0</v>
      </c>
      <c r="J7" s="1144">
        <v>5870.77</v>
      </c>
      <c r="K7" s="1141"/>
      <c r="M7" s="802"/>
    </row>
    <row r="8" spans="1:18" ht="15">
      <c r="A8" s="1142" t="s">
        <v>1287</v>
      </c>
      <c r="B8" s="1141"/>
      <c r="C8" s="1141"/>
      <c r="D8" s="1148">
        <v>1500</v>
      </c>
      <c r="E8" s="1148">
        <v>0</v>
      </c>
      <c r="F8" s="1144">
        <v>1500</v>
      </c>
      <c r="G8" s="1148">
        <v>1500</v>
      </c>
      <c r="H8" s="1144">
        <v>0</v>
      </c>
      <c r="I8" s="1144">
        <v>0</v>
      </c>
      <c r="J8" s="1144">
        <v>0</v>
      </c>
      <c r="K8" s="1141"/>
      <c r="M8" s="802"/>
    </row>
    <row r="9" spans="1:18" ht="15">
      <c r="A9" s="1142" t="s">
        <v>1030</v>
      </c>
      <c r="B9" s="1141"/>
      <c r="C9" s="1141"/>
      <c r="D9" s="1148">
        <v>4016.05</v>
      </c>
      <c r="E9" s="1148">
        <v>501.2</v>
      </c>
      <c r="F9" s="1144">
        <v>4016.05</v>
      </c>
      <c r="G9" s="1148">
        <v>3140.67</v>
      </c>
      <c r="H9" s="1144">
        <v>0</v>
      </c>
      <c r="I9" s="1144">
        <v>0</v>
      </c>
      <c r="J9" s="1144">
        <v>1376.58</v>
      </c>
      <c r="K9" s="1141"/>
      <c r="M9" s="802"/>
    </row>
    <row r="10" spans="1:18" ht="15">
      <c r="A10" s="1142" t="s">
        <v>1020</v>
      </c>
      <c r="B10" s="1141"/>
      <c r="C10" s="1141"/>
      <c r="D10" s="1148">
        <v>0</v>
      </c>
      <c r="E10" s="1148">
        <v>288.11</v>
      </c>
      <c r="F10" s="1144">
        <v>40388.46</v>
      </c>
      <c r="G10" s="1148">
        <v>37409.29</v>
      </c>
      <c r="H10" s="1144">
        <v>0</v>
      </c>
      <c r="I10" s="1144">
        <v>0</v>
      </c>
      <c r="J10" s="1144">
        <v>3267.28</v>
      </c>
      <c r="K10" s="1141"/>
      <c r="M10" s="802"/>
    </row>
    <row r="11" spans="1:18" ht="15">
      <c r="A11" s="1142" t="s">
        <v>1044</v>
      </c>
      <c r="B11" s="1141"/>
      <c r="C11" s="1141"/>
      <c r="D11" s="1148">
        <v>0</v>
      </c>
      <c r="E11" s="1148">
        <v>-142581.84</v>
      </c>
      <c r="F11" s="1144">
        <v>0</v>
      </c>
      <c r="G11" s="1148">
        <v>0</v>
      </c>
      <c r="H11" s="1144">
        <v>0</v>
      </c>
      <c r="I11" s="1144">
        <v>0</v>
      </c>
      <c r="J11" s="1144">
        <v>-142581.84</v>
      </c>
      <c r="K11" s="1141"/>
      <c r="M11" s="802"/>
    </row>
    <row r="12" spans="1:18" ht="15">
      <c r="A12" s="1142" t="s">
        <v>1502</v>
      </c>
      <c r="B12" s="1141"/>
      <c r="C12" s="1141"/>
      <c r="D12" s="1148">
        <v>3355.67</v>
      </c>
      <c r="E12" s="1148">
        <v>60</v>
      </c>
      <c r="F12" s="1144">
        <v>4368.32</v>
      </c>
      <c r="G12" s="1148">
        <v>3568.32</v>
      </c>
      <c r="H12" s="1144">
        <v>0</v>
      </c>
      <c r="I12" s="1144">
        <v>0</v>
      </c>
      <c r="J12" s="1144">
        <v>860</v>
      </c>
      <c r="K12" s="1141"/>
      <c r="M12" s="802"/>
    </row>
    <row r="13" spans="1:18" ht="15">
      <c r="A13" s="1142" t="s">
        <v>1026</v>
      </c>
      <c r="B13" s="1141"/>
      <c r="C13" s="1141"/>
      <c r="D13" s="1148">
        <v>0</v>
      </c>
      <c r="E13" s="1148">
        <v>-31952.26</v>
      </c>
      <c r="F13" s="1144">
        <v>0</v>
      </c>
      <c r="G13" s="1148">
        <v>-45631.03</v>
      </c>
      <c r="H13" s="1144">
        <v>0</v>
      </c>
      <c r="I13" s="1144">
        <v>0</v>
      </c>
      <c r="J13" s="1144">
        <v>13678.77</v>
      </c>
      <c r="K13" s="1141"/>
      <c r="M13" s="802"/>
    </row>
    <row r="14" spans="1:18" ht="15">
      <c r="A14" s="1142" t="s">
        <v>1038</v>
      </c>
      <c r="B14" s="1141"/>
      <c r="C14" s="1141"/>
      <c r="D14" s="1148">
        <v>13268.13</v>
      </c>
      <c r="E14" s="1148">
        <v>729.11</v>
      </c>
      <c r="F14" s="1144">
        <v>11616.23</v>
      </c>
      <c r="G14" s="1148">
        <v>7668.23</v>
      </c>
      <c r="H14" s="1144">
        <v>0</v>
      </c>
      <c r="I14" s="1144">
        <v>0</v>
      </c>
      <c r="J14" s="1144">
        <v>4677.1099999999997</v>
      </c>
      <c r="K14" s="1141"/>
      <c r="M14" s="802"/>
    </row>
    <row r="15" spans="1:18" ht="15">
      <c r="A15" s="1142" t="s">
        <v>1018</v>
      </c>
      <c r="B15" s="1141"/>
      <c r="C15" s="1141"/>
      <c r="D15" s="1148">
        <v>423.09</v>
      </c>
      <c r="E15" s="1148">
        <v>0</v>
      </c>
      <c r="F15" s="1144">
        <v>423.09</v>
      </c>
      <c r="G15" s="1148">
        <v>423.09</v>
      </c>
      <c r="H15" s="1144">
        <v>0</v>
      </c>
      <c r="I15" s="1144">
        <v>0</v>
      </c>
      <c r="J15" s="1144">
        <v>0</v>
      </c>
      <c r="K15" s="1141"/>
      <c r="M15" s="802"/>
    </row>
    <row r="16" spans="1:18" ht="15">
      <c r="A16" s="1142" t="s">
        <v>1028</v>
      </c>
      <c r="B16" s="1141"/>
      <c r="C16" s="1141"/>
      <c r="D16" s="1148">
        <v>0</v>
      </c>
      <c r="E16" s="1148">
        <v>0</v>
      </c>
      <c r="F16" s="1144">
        <v>226.54</v>
      </c>
      <c r="G16" s="1148">
        <v>0</v>
      </c>
      <c r="H16" s="1144">
        <v>0</v>
      </c>
      <c r="I16" s="1144">
        <v>0</v>
      </c>
      <c r="J16" s="1144">
        <v>226.54</v>
      </c>
      <c r="K16" s="1141"/>
      <c r="M16" s="802"/>
    </row>
    <row r="17" spans="1:13" ht="15">
      <c r="A17" s="1125"/>
      <c r="B17" s="1143" t="s">
        <v>1136</v>
      </c>
      <c r="C17" s="1141"/>
      <c r="D17" s="1147">
        <v>283750.28000000003</v>
      </c>
      <c r="E17" s="1147">
        <v>-157643.70000000001</v>
      </c>
      <c r="F17" s="1145">
        <v>307682.65999999997</v>
      </c>
      <c r="G17" s="1147">
        <v>170574.75</v>
      </c>
      <c r="H17" s="1145">
        <v>0</v>
      </c>
      <c r="I17" s="1145">
        <v>0</v>
      </c>
      <c r="J17" s="1146">
        <v>-20535.79</v>
      </c>
      <c r="K17" s="1146">
        <v>149779.54</v>
      </c>
      <c r="M17" s="811"/>
    </row>
    <row r="18" spans="1:13" ht="15">
      <c r="A18" s="811"/>
      <c r="B18" s="811"/>
      <c r="C18" s="811"/>
      <c r="D18" s="1053"/>
      <c r="E18" s="1054"/>
      <c r="F18" s="1053"/>
      <c r="G18" s="1053"/>
      <c r="H18" s="1053"/>
      <c r="I18" s="1053"/>
      <c r="J18" s="1053"/>
      <c r="K18" s="1054"/>
      <c r="L18" s="813"/>
      <c r="M18" s="813"/>
    </row>
    <row r="19" spans="1:13" ht="15">
      <c r="A19" s="812"/>
      <c r="B19" s="812"/>
      <c r="C19" s="812"/>
      <c r="D19" s="812"/>
      <c r="E19" s="811"/>
      <c r="F19" s="812"/>
      <c r="G19" s="812"/>
      <c r="H19" s="812"/>
      <c r="I19" s="812"/>
      <c r="J19" s="812"/>
      <c r="K19" s="811"/>
      <c r="L19" s="814"/>
      <c r="M19" s="814"/>
    </row>
    <row r="20" spans="1:13" ht="15">
      <c r="A20" s="811"/>
      <c r="B20" s="811"/>
      <c r="C20" s="812"/>
      <c r="D20" s="812"/>
      <c r="E20" s="811"/>
      <c r="F20" s="812"/>
      <c r="G20" s="812"/>
      <c r="H20" s="812"/>
      <c r="I20" s="812"/>
      <c r="J20" s="812"/>
      <c r="K20" s="812"/>
      <c r="L20" s="812"/>
      <c r="M20" s="812"/>
    </row>
    <row r="21" spans="1:13" ht="15">
      <c r="A21" s="812"/>
      <c r="B21" s="812"/>
      <c r="C21" s="812"/>
      <c r="D21" s="812"/>
      <c r="E21" s="811"/>
      <c r="F21" s="812"/>
      <c r="G21" s="812"/>
      <c r="H21" s="812"/>
      <c r="I21" s="812"/>
      <c r="J21" s="812"/>
      <c r="K21" s="812"/>
      <c r="L21" s="812"/>
      <c r="M21" s="812"/>
    </row>
    <row r="22" spans="1:13" ht="15">
      <c r="A22" s="812"/>
      <c r="B22" s="812"/>
      <c r="C22" s="812"/>
      <c r="D22" s="812"/>
      <c r="E22" s="812"/>
      <c r="F22" s="812"/>
      <c r="G22" s="812"/>
      <c r="H22" s="812"/>
      <c r="I22" s="812"/>
      <c r="J22" s="812"/>
      <c r="K22" s="812"/>
      <c r="L22" s="812"/>
      <c r="M22" s="812"/>
    </row>
    <row r="23" spans="1:13" ht="15">
      <c r="A23" s="812"/>
      <c r="B23" s="812"/>
      <c r="C23" s="812"/>
      <c r="D23" s="812"/>
      <c r="E23" s="812"/>
      <c r="F23" s="812"/>
      <c r="G23" s="812"/>
      <c r="H23" s="812"/>
      <c r="I23" s="812"/>
      <c r="J23" s="812"/>
      <c r="K23" s="812"/>
      <c r="L23" s="812"/>
      <c r="M23" s="812"/>
    </row>
    <row r="24" spans="1:13" ht="15">
      <c r="A24" s="812"/>
      <c r="B24" s="812"/>
      <c r="C24" s="812"/>
      <c r="D24" s="812"/>
      <c r="E24" s="812"/>
      <c r="F24" s="812"/>
      <c r="G24" s="812"/>
      <c r="H24" s="812"/>
      <c r="I24" s="812"/>
      <c r="J24" s="812"/>
      <c r="K24" s="811"/>
      <c r="L24" s="811"/>
      <c r="M24" s="811"/>
    </row>
    <row r="25" spans="1:13">
      <c r="A25" s="811"/>
      <c r="B25" s="811"/>
      <c r="C25" s="811"/>
      <c r="D25" s="811"/>
      <c r="E25" s="811"/>
      <c r="F25" s="811"/>
      <c r="G25" s="811"/>
      <c r="H25" s="811"/>
      <c r="I25" s="811"/>
      <c r="J25" s="811"/>
      <c r="K25" s="811"/>
      <c r="L25" s="811"/>
      <c r="M25" s="811"/>
    </row>
    <row r="26" spans="1:13" ht="15">
      <c r="A26" s="812"/>
      <c r="B26" s="812"/>
      <c r="C26" s="812"/>
      <c r="D26" s="812"/>
      <c r="E26" s="812"/>
      <c r="F26" s="812"/>
      <c r="G26" s="812"/>
      <c r="H26" s="812"/>
      <c r="I26" s="812"/>
      <c r="J26" s="812"/>
      <c r="K26" s="812"/>
      <c r="L26" s="812"/>
      <c r="M26" s="812"/>
    </row>
    <row r="27" spans="1:13" ht="15">
      <c r="A27" s="812"/>
      <c r="B27" s="1261"/>
      <c r="C27" s="1261"/>
      <c r="D27" s="816"/>
      <c r="E27" s="816"/>
      <c r="F27" s="816"/>
      <c r="G27" s="916"/>
      <c r="H27" s="804"/>
      <c r="I27" s="804"/>
      <c r="J27" s="805"/>
      <c r="K27" s="805"/>
      <c r="L27" s="815"/>
      <c r="M27" s="812"/>
    </row>
  </sheetData>
  <mergeCells count="1">
    <mergeCell ref="B27:C27"/>
  </mergeCells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 codeName="Sheet68"/>
  <dimension ref="A1:M1432"/>
  <sheetViews>
    <sheetView workbookViewId="0">
      <selection activeCell="N18" sqref="N18"/>
    </sheetView>
  </sheetViews>
  <sheetFormatPr defaultColWidth="9.42578125" defaultRowHeight="15"/>
  <cols>
    <col min="1" max="1" width="31.5703125" style="508" bestFit="1" customWidth="1"/>
    <col min="2" max="2" width="21" style="508" hidden="1" customWidth="1"/>
    <col min="3" max="9" width="11.5703125" style="508" hidden="1" customWidth="1"/>
    <col min="10" max="10" width="14.42578125" style="509" bestFit="1" customWidth="1"/>
    <col min="11" max="13" width="11.5703125" style="508" customWidth="1"/>
    <col min="14" max="18" width="12.5703125" style="508" customWidth="1"/>
    <col min="19" max="19" width="12.5703125" style="508" bestFit="1" customWidth="1"/>
    <col min="20" max="20" width="13.5703125" style="508" bestFit="1" customWidth="1"/>
    <col min="21" max="22" width="12.5703125" style="508" bestFit="1" customWidth="1"/>
    <col min="23" max="23" width="14.42578125" style="508" bestFit="1" customWidth="1"/>
    <col min="24" max="24" width="12.5703125" style="508" bestFit="1" customWidth="1"/>
    <col min="25" max="25" width="14.42578125" style="508" bestFit="1" customWidth="1"/>
    <col min="26" max="34" width="12.5703125" style="508" bestFit="1" customWidth="1"/>
    <col min="35" max="35" width="11.5703125" style="508" bestFit="1" customWidth="1"/>
    <col min="36" max="36" width="12.5703125" style="508" bestFit="1" customWidth="1"/>
    <col min="37" max="39" width="13.5703125" style="508" bestFit="1" customWidth="1"/>
    <col min="40" max="40" width="12.5703125" style="508" bestFit="1" customWidth="1"/>
    <col min="41" max="41" width="14.42578125" style="508" bestFit="1" customWidth="1"/>
    <col min="42" max="43" width="12.5703125" style="508" bestFit="1" customWidth="1"/>
    <col min="44" max="44" width="13.5703125" style="508" bestFit="1" customWidth="1"/>
    <col min="45" max="16384" width="9.42578125" style="508"/>
  </cols>
  <sheetData>
    <row r="1" spans="1:12">
      <c r="A1" s="507" t="s">
        <v>1137</v>
      </c>
      <c r="B1" s="507"/>
      <c r="K1" s="532" t="s">
        <v>1138</v>
      </c>
    </row>
    <row r="2" spans="1:12">
      <c r="A2" s="507"/>
      <c r="B2" s="507"/>
      <c r="K2" s="508" t="s">
        <v>1139</v>
      </c>
    </row>
    <row r="4" spans="1:12" ht="15.75" thickBot="1"/>
    <row r="5" spans="1:12">
      <c r="A5" s="510"/>
      <c r="B5" s="511"/>
      <c r="C5" s="511" t="s">
        <v>1140</v>
      </c>
      <c r="D5" s="511"/>
      <c r="E5" s="511"/>
      <c r="F5" s="511"/>
      <c r="G5" s="511"/>
      <c r="H5" s="511"/>
      <c r="I5" s="512"/>
      <c r="J5" s="513"/>
    </row>
    <row r="6" spans="1:12" ht="15.75" thickBot="1">
      <c r="A6" s="514" t="s">
        <v>77</v>
      </c>
      <c r="B6" s="515" t="s">
        <v>1141</v>
      </c>
      <c r="C6" s="515" t="s">
        <v>1142</v>
      </c>
      <c r="D6" s="515" t="s">
        <v>1143</v>
      </c>
      <c r="E6" s="515" t="s">
        <v>1144</v>
      </c>
      <c r="F6" s="515" t="s">
        <v>1145</v>
      </c>
      <c r="G6" s="515" t="s">
        <v>1146</v>
      </c>
      <c r="H6" s="515" t="s">
        <v>1147</v>
      </c>
      <c r="I6" s="516" t="s">
        <v>1148</v>
      </c>
      <c r="J6" s="517" t="s">
        <v>1149</v>
      </c>
      <c r="L6" s="508" t="s">
        <v>1150</v>
      </c>
    </row>
    <row r="7" spans="1:12">
      <c r="A7" s="518"/>
      <c r="B7" s="519" t="s">
        <v>1151</v>
      </c>
      <c r="C7" s="520">
        <v>166.36</v>
      </c>
      <c r="D7" s="521">
        <v>438.1</v>
      </c>
      <c r="E7" s="521">
        <v>-40.270000000000003</v>
      </c>
      <c r="F7" s="521">
        <v>-40.270000000000003</v>
      </c>
      <c r="G7" s="521">
        <v>-40.270000000000003</v>
      </c>
      <c r="H7" s="521">
        <v>-887.76</v>
      </c>
      <c r="I7" s="522">
        <v>-404.11</v>
      </c>
      <c r="J7" s="589">
        <f>-404.11+404.11</f>
        <v>0</v>
      </c>
      <c r="L7" s="508" t="s">
        <v>1152</v>
      </c>
    </row>
    <row r="8" spans="1:12">
      <c r="A8" s="518"/>
      <c r="B8" s="523" t="s">
        <v>1153</v>
      </c>
      <c r="C8" s="524"/>
      <c r="D8" s="525"/>
      <c r="E8" s="525"/>
      <c r="F8" s="525"/>
      <c r="G8" s="525"/>
      <c r="H8" s="525">
        <v>-19653.759999999998</v>
      </c>
      <c r="I8" s="522">
        <v>-19653.759999999998</v>
      </c>
      <c r="J8" s="589">
        <v>0</v>
      </c>
      <c r="L8" s="508" t="s">
        <v>1154</v>
      </c>
    </row>
    <row r="9" spans="1:12">
      <c r="A9" s="518"/>
      <c r="B9" s="523" t="s">
        <v>1155</v>
      </c>
      <c r="C9" s="524">
        <v>-143.94999999999999</v>
      </c>
      <c r="D9" s="525"/>
      <c r="E9" s="525"/>
      <c r="F9" s="525"/>
      <c r="G9" s="525"/>
      <c r="H9" s="525"/>
      <c r="I9" s="522">
        <v>-143.94999999999999</v>
      </c>
      <c r="J9" s="589"/>
    </row>
    <row r="10" spans="1:12">
      <c r="A10" s="518"/>
      <c r="B10" s="526" t="s">
        <v>1156</v>
      </c>
      <c r="C10" s="524">
        <v>-115.16</v>
      </c>
      <c r="D10" s="525">
        <v>-778.64</v>
      </c>
      <c r="E10" s="525"/>
      <c r="F10" s="525"/>
      <c r="G10" s="525"/>
      <c r="H10" s="525"/>
      <c r="I10" s="522">
        <v>-893.8</v>
      </c>
      <c r="J10" s="589"/>
    </row>
    <row r="11" spans="1:12">
      <c r="A11" s="518"/>
      <c r="B11" s="526" t="s">
        <v>1157</v>
      </c>
      <c r="C11" s="524"/>
      <c r="D11" s="525">
        <v>789.04</v>
      </c>
      <c r="E11" s="525"/>
      <c r="F11" s="525"/>
      <c r="G11" s="525"/>
      <c r="H11" s="525">
        <v>-1383.93</v>
      </c>
      <c r="I11" s="522">
        <v>-594.82000000000005</v>
      </c>
      <c r="J11" s="589">
        <v>0</v>
      </c>
    </row>
    <row r="12" spans="1:12">
      <c r="A12" s="518"/>
      <c r="B12" s="526" t="s">
        <v>1158</v>
      </c>
      <c r="C12" s="524">
        <v>19.68</v>
      </c>
      <c r="D12" s="525"/>
      <c r="E12" s="525">
        <v>-379.17</v>
      </c>
      <c r="F12" s="525"/>
      <c r="G12" s="525"/>
      <c r="H12" s="525"/>
      <c r="I12" s="522">
        <v>-359.49</v>
      </c>
      <c r="J12" s="589"/>
    </row>
    <row r="13" spans="1:12">
      <c r="A13" s="518"/>
      <c r="B13" s="526" t="s">
        <v>1159</v>
      </c>
      <c r="C13" s="524">
        <v>44.75</v>
      </c>
      <c r="D13" s="525"/>
      <c r="E13" s="525"/>
      <c r="F13" s="525"/>
      <c r="G13" s="525"/>
      <c r="H13" s="525">
        <v>-114.87</v>
      </c>
      <c r="I13" s="522">
        <v>-70.13</v>
      </c>
      <c r="J13" s="589">
        <f>-70.13+70.13</f>
        <v>0</v>
      </c>
    </row>
    <row r="14" spans="1:12">
      <c r="A14" s="518"/>
      <c r="B14" s="526" t="s">
        <v>1160</v>
      </c>
      <c r="C14" s="524">
        <v>14.76</v>
      </c>
      <c r="D14" s="525"/>
      <c r="E14" s="525">
        <v>-286.37</v>
      </c>
      <c r="F14" s="525">
        <v>-2</v>
      </c>
      <c r="G14" s="525">
        <v>-3</v>
      </c>
      <c r="H14" s="525">
        <v>224.22</v>
      </c>
      <c r="I14" s="522">
        <v>-52.49</v>
      </c>
      <c r="J14" s="589">
        <f>-52.49+52.49</f>
        <v>0</v>
      </c>
      <c r="L14" s="596"/>
    </row>
    <row r="15" spans="1:12">
      <c r="A15" s="518"/>
      <c r="B15" s="526" t="s">
        <v>1161</v>
      </c>
      <c r="C15" s="524">
        <v>-12.53</v>
      </c>
      <c r="D15" s="525"/>
      <c r="E15" s="525">
        <v>-838.54</v>
      </c>
      <c r="F15" s="525">
        <v>-1734.5</v>
      </c>
      <c r="G15" s="525"/>
      <c r="H15" s="525"/>
      <c r="I15" s="522">
        <v>-2585.5700000000002</v>
      </c>
      <c r="J15" s="589">
        <f>-2585.57+2585.57</f>
        <v>0</v>
      </c>
      <c r="L15" s="596"/>
    </row>
    <row r="16" spans="1:12">
      <c r="A16" s="518"/>
      <c r="B16" s="526" t="s">
        <v>1162</v>
      </c>
      <c r="C16" s="524">
        <v>14.76</v>
      </c>
      <c r="D16" s="525">
        <v>84.64</v>
      </c>
      <c r="E16" s="525">
        <v>-249.73</v>
      </c>
      <c r="F16" s="525">
        <v>34.64</v>
      </c>
      <c r="G16" s="525">
        <v>34.64</v>
      </c>
      <c r="H16" s="525">
        <v>-65.39</v>
      </c>
      <c r="I16" s="522">
        <v>-146.47</v>
      </c>
      <c r="J16" s="589">
        <f>-146.47+146.47</f>
        <v>0</v>
      </c>
    </row>
    <row r="17" spans="1:10">
      <c r="A17" s="518"/>
      <c r="B17" s="526" t="s">
        <v>1163</v>
      </c>
      <c r="C17" s="524">
        <v>-132.43</v>
      </c>
      <c r="D17" s="525"/>
      <c r="E17" s="525"/>
      <c r="F17" s="525"/>
      <c r="G17" s="525"/>
      <c r="H17" s="525"/>
      <c r="I17" s="522">
        <v>-132.43</v>
      </c>
      <c r="J17" s="589"/>
    </row>
    <row r="18" spans="1:10" ht="15.75" thickBot="1">
      <c r="A18" s="518"/>
      <c r="B18" s="526" t="s">
        <v>1164</v>
      </c>
      <c r="C18" s="524">
        <v>458.16</v>
      </c>
      <c r="D18" s="525">
        <v>-1973.67</v>
      </c>
      <c r="E18" s="525">
        <v>-404.57</v>
      </c>
      <c r="F18" s="525">
        <v>-441.59</v>
      </c>
      <c r="G18" s="525">
        <v>-404.57</v>
      </c>
      <c r="H18" s="525">
        <v>-3486.54</v>
      </c>
      <c r="I18" s="522">
        <v>-6252.78</v>
      </c>
      <c r="J18" s="589">
        <v>0</v>
      </c>
    </row>
    <row r="19" spans="1:10" s="531" customFormat="1" ht="15.75" thickBot="1">
      <c r="A19" s="527" t="s">
        <v>1148</v>
      </c>
      <c r="B19" s="528"/>
      <c r="C19" s="529">
        <v>1498.33</v>
      </c>
      <c r="D19" s="529">
        <v>97504.41</v>
      </c>
      <c r="E19" s="529">
        <v>-198.01</v>
      </c>
      <c r="F19" s="529">
        <v>-3291.94</v>
      </c>
      <c r="G19" s="529">
        <v>-440.24</v>
      </c>
      <c r="H19" s="529">
        <v>-24846.1</v>
      </c>
      <c r="I19" s="530">
        <v>70226.45</v>
      </c>
      <c r="J19" s="590">
        <f>SUM(J7:J18)</f>
        <v>0</v>
      </c>
    </row>
    <row r="20" spans="1:10">
      <c r="A20"/>
      <c r="B20"/>
      <c r="C20"/>
      <c r="D20"/>
      <c r="E20"/>
      <c r="F20"/>
      <c r="G20"/>
      <c r="H20"/>
      <c r="I20"/>
    </row>
    <row r="22" spans="1:10">
      <c r="A22" s="508" t="s">
        <v>1165</v>
      </c>
    </row>
    <row r="23" spans="1:10">
      <c r="A23" s="508">
        <v>0</v>
      </c>
      <c r="J23" s="589">
        <v>0</v>
      </c>
    </row>
    <row r="26" spans="1:10">
      <c r="A26" s="508" t="s">
        <v>1166</v>
      </c>
      <c r="J26" s="591">
        <f>+J19+J23</f>
        <v>0</v>
      </c>
    </row>
    <row r="1432" spans="13:13">
      <c r="M1432" s="508">
        <v>25.982461838259177</v>
      </c>
    </row>
  </sheetData>
  <conditionalFormatting sqref="A6:I6 B7:B9">
    <cfRule type="expression" dxfId="0" priority="1">
      <formula>MOD(ROW(),2)=1</formula>
    </cfRule>
  </conditionalFormatting>
  <pageMargins left="0.7" right="0.7" top="0.75" bottom="0.75" header="0.3" footer="0.3"/>
  <pageSetup orientation="landscape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 codeName="Sheet69"/>
  <dimension ref="A1:H22"/>
  <sheetViews>
    <sheetView workbookViewId="0">
      <selection activeCell="L30" sqref="L30"/>
    </sheetView>
  </sheetViews>
  <sheetFormatPr defaultRowHeight="12.75"/>
  <cols>
    <col min="1" max="1" width="36.42578125" customWidth="1"/>
    <col min="2" max="2" width="12.42578125" style="377" bestFit="1" customWidth="1"/>
    <col min="3" max="3" width="12" customWidth="1"/>
    <col min="4" max="4" width="12.42578125" style="377" customWidth="1"/>
    <col min="6" max="6" width="14.5703125" customWidth="1"/>
  </cols>
  <sheetData>
    <row r="1" spans="1:8">
      <c r="A1" s="333" t="s">
        <v>1167</v>
      </c>
    </row>
    <row r="3" spans="1:8">
      <c r="B3" s="481" t="s">
        <v>1168</v>
      </c>
      <c r="D3" s="481" t="s">
        <v>1169</v>
      </c>
    </row>
    <row r="4" spans="1:8">
      <c r="A4" s="480" t="s">
        <v>1170</v>
      </c>
      <c r="B4" s="482">
        <v>144710.62</v>
      </c>
      <c r="C4" s="479"/>
      <c r="D4" s="482">
        <v>132398.22</v>
      </c>
      <c r="F4" s="377">
        <f t="shared" ref="F4:F15" si="0">B4-D4</f>
        <v>12312.399999999994</v>
      </c>
      <c r="G4" t="s">
        <v>1171</v>
      </c>
    </row>
    <row r="5" spans="1:8">
      <c r="A5" s="480" t="s">
        <v>1070</v>
      </c>
      <c r="B5" s="482">
        <v>988.53</v>
      </c>
      <c r="C5" s="479"/>
      <c r="D5" s="482">
        <v>988.53</v>
      </c>
      <c r="F5" s="377">
        <f t="shared" si="0"/>
        <v>0</v>
      </c>
    </row>
    <row r="6" spans="1:8">
      <c r="A6" s="480" t="s">
        <v>1172</v>
      </c>
      <c r="B6" s="482">
        <v>0</v>
      </c>
      <c r="C6" s="479"/>
      <c r="D6" s="482">
        <v>0</v>
      </c>
      <c r="F6" s="377">
        <f t="shared" si="0"/>
        <v>0</v>
      </c>
      <c r="G6" s="333"/>
    </row>
    <row r="7" spans="1:8">
      <c r="A7" s="480" t="s">
        <v>1071</v>
      </c>
      <c r="B7" s="482">
        <v>34830.53</v>
      </c>
      <c r="C7" s="479"/>
      <c r="D7" s="482">
        <v>34830.53</v>
      </c>
      <c r="F7" s="377">
        <f t="shared" si="0"/>
        <v>0</v>
      </c>
    </row>
    <row r="8" spans="1:8">
      <c r="A8" s="480" t="s">
        <v>1072</v>
      </c>
      <c r="B8" s="482">
        <v>-2633.27</v>
      </c>
      <c r="C8" s="479"/>
      <c r="D8" s="482">
        <v>-2633.27</v>
      </c>
      <c r="F8" s="377">
        <f t="shared" si="0"/>
        <v>0</v>
      </c>
    </row>
    <row r="9" spans="1:8">
      <c r="A9" s="480" t="s">
        <v>1073</v>
      </c>
      <c r="B9" s="482">
        <v>3211.1</v>
      </c>
      <c r="C9" s="479"/>
      <c r="D9" s="482">
        <v>3211.1</v>
      </c>
      <c r="F9" s="377">
        <f t="shared" si="0"/>
        <v>0</v>
      </c>
    </row>
    <row r="10" spans="1:8">
      <c r="A10" s="480" t="s">
        <v>1074</v>
      </c>
      <c r="B10" s="482">
        <v>996.19</v>
      </c>
      <c r="C10" s="479"/>
      <c r="D10" s="482">
        <v>996.19</v>
      </c>
      <c r="F10" s="377">
        <f t="shared" si="0"/>
        <v>0</v>
      </c>
    </row>
    <row r="11" spans="1:8">
      <c r="A11" s="480" t="s">
        <v>1173</v>
      </c>
      <c r="B11" s="482">
        <v>32956.25</v>
      </c>
      <c r="C11" s="479"/>
      <c r="D11" s="482">
        <v>32956.25</v>
      </c>
      <c r="F11" s="377">
        <f t="shared" si="0"/>
        <v>0</v>
      </c>
    </row>
    <row r="12" spans="1:8">
      <c r="A12" s="480" t="s">
        <v>1174</v>
      </c>
      <c r="B12" s="482">
        <v>3559.18</v>
      </c>
      <c r="C12" s="479"/>
      <c r="D12" s="482">
        <v>3559.18</v>
      </c>
      <c r="F12" s="377">
        <f t="shared" si="0"/>
        <v>0</v>
      </c>
    </row>
    <row r="13" spans="1:8">
      <c r="A13" s="480" t="s">
        <v>1041</v>
      </c>
      <c r="B13" s="482">
        <v>63.32</v>
      </c>
      <c r="C13" s="479"/>
      <c r="D13" s="482">
        <v>63.32</v>
      </c>
      <c r="F13" s="377">
        <f t="shared" si="0"/>
        <v>0</v>
      </c>
    </row>
    <row r="14" spans="1:8">
      <c r="A14" s="480" t="s">
        <v>953</v>
      </c>
      <c r="B14" s="377">
        <v>0</v>
      </c>
      <c r="D14" s="482">
        <v>498.99</v>
      </c>
      <c r="F14" s="377">
        <f t="shared" si="0"/>
        <v>-498.99</v>
      </c>
      <c r="G14" s="333" t="s">
        <v>1175</v>
      </c>
      <c r="H14" s="333"/>
    </row>
    <row r="15" spans="1:8">
      <c r="A15" s="480" t="s">
        <v>1176</v>
      </c>
      <c r="B15" s="377">
        <v>0</v>
      </c>
      <c r="D15" s="482">
        <v>0</v>
      </c>
      <c r="F15" s="377">
        <f t="shared" si="0"/>
        <v>0</v>
      </c>
      <c r="G15" s="333"/>
      <c r="H15" s="333"/>
    </row>
    <row r="16" spans="1:8">
      <c r="A16" s="480" t="s">
        <v>1177</v>
      </c>
      <c r="B16" s="377">
        <f>SUM(B4:B15)</f>
        <v>218682.45</v>
      </c>
      <c r="D16" s="377">
        <f>SUM(D4:D15)</f>
        <v>206869.04</v>
      </c>
      <c r="H16" s="333"/>
    </row>
    <row r="17" spans="1:8">
      <c r="H17" s="333"/>
    </row>
    <row r="18" spans="1:8">
      <c r="A18" s="480" t="s">
        <v>1178</v>
      </c>
      <c r="H18" s="333"/>
    </row>
    <row r="19" spans="1:8">
      <c r="A19" s="480"/>
    </row>
    <row r="20" spans="1:8">
      <c r="A20" s="480"/>
    </row>
    <row r="21" spans="1:8">
      <c r="B21" s="481" t="s">
        <v>1179</v>
      </c>
      <c r="D21" s="481" t="s">
        <v>1045</v>
      </c>
    </row>
    <row r="22" spans="1:8">
      <c r="A22" s="333" t="s">
        <v>1170</v>
      </c>
      <c r="B22" s="377">
        <v>143398.99</v>
      </c>
      <c r="D22" s="377">
        <v>130217.25</v>
      </c>
      <c r="F22" s="377">
        <f>B22-D22</f>
        <v>13181.739999999991</v>
      </c>
      <c r="G22" s="333" t="s">
        <v>1180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79</vt:i4>
      </vt:variant>
      <vt:variant>
        <vt:lpstr>Named Ranges</vt:lpstr>
      </vt:variant>
      <vt:variant>
        <vt:i4>19</vt:i4>
      </vt:variant>
    </vt:vector>
  </HeadingPairs>
  <TitlesOfParts>
    <vt:vector size="98" baseType="lpstr">
      <vt:lpstr>Pet-cash</vt:lpstr>
      <vt:lpstr>Bank Rec</vt:lpstr>
      <vt:lpstr>Sec-Dep</vt:lpstr>
      <vt:lpstr>Util-Dep</vt:lpstr>
      <vt:lpstr>All-Doubt</vt:lpstr>
      <vt:lpstr>Bad-D</vt:lpstr>
      <vt:lpstr>Receiv</vt:lpstr>
      <vt:lpstr>PreP-Ins</vt:lpstr>
      <vt:lpstr>PreP-Other</vt:lpstr>
      <vt:lpstr>O-Asset</vt:lpstr>
      <vt:lpstr>TT-Costs</vt:lpstr>
      <vt:lpstr>Leas-Costs</vt:lpstr>
      <vt:lpstr>Amort-Leas</vt:lpstr>
      <vt:lpstr>Amort-Finance</vt:lpstr>
      <vt:lpstr>Free-R</vt:lpstr>
      <vt:lpstr>Accr-Sale</vt:lpstr>
      <vt:lpstr>Accr-Leas</vt:lpstr>
      <vt:lpstr>Mgmt-Fee</vt:lpstr>
      <vt:lpstr>Accr Ins</vt:lpstr>
      <vt:lpstr>O-Liabil</vt:lpstr>
      <vt:lpstr>Legal-Fee</vt:lpstr>
      <vt:lpstr>Leas-Costs (2)</vt:lpstr>
      <vt:lpstr>Legal-Fee (2)</vt:lpstr>
      <vt:lpstr>Fixed</vt:lpstr>
      <vt:lpstr>Chk list</vt:lpstr>
      <vt:lpstr>10420</vt:lpstr>
      <vt:lpstr>Review Comments</vt:lpstr>
      <vt:lpstr>TB </vt:lpstr>
      <vt:lpstr>10410</vt:lpstr>
      <vt:lpstr>10530</vt:lpstr>
      <vt:lpstr>10450</vt:lpstr>
      <vt:lpstr>10460</vt:lpstr>
      <vt:lpstr>10470</vt:lpstr>
      <vt:lpstr>10490</vt:lpstr>
      <vt:lpstr>Summary</vt:lpstr>
      <vt:lpstr>12020</vt:lpstr>
      <vt:lpstr>13000 (2)</vt:lpstr>
      <vt:lpstr>12410</vt:lpstr>
      <vt:lpstr>12500</vt:lpstr>
      <vt:lpstr>12410 </vt:lpstr>
      <vt:lpstr>12100</vt:lpstr>
      <vt:lpstr>13000</vt:lpstr>
      <vt:lpstr>13100</vt:lpstr>
      <vt:lpstr>13130</vt:lpstr>
      <vt:lpstr>Fixed Asset</vt:lpstr>
      <vt:lpstr>16500</vt:lpstr>
      <vt:lpstr>17600</vt:lpstr>
      <vt:lpstr>15500</vt:lpstr>
      <vt:lpstr>13000-</vt:lpstr>
      <vt:lpstr>17650</vt:lpstr>
      <vt:lpstr>12530</vt:lpstr>
      <vt:lpstr>20100</vt:lpstr>
      <vt:lpstr>20650</vt:lpstr>
      <vt:lpstr>20650 old</vt:lpstr>
      <vt:lpstr>20620</vt:lpstr>
      <vt:lpstr>26300</vt:lpstr>
      <vt:lpstr>20110</vt:lpstr>
      <vt:lpstr>25300</vt:lpstr>
      <vt:lpstr>Equity</vt:lpstr>
      <vt:lpstr>25420</vt:lpstr>
      <vt:lpstr>25500</vt:lpstr>
      <vt:lpstr>20660</vt:lpstr>
      <vt:lpstr>35000</vt:lpstr>
      <vt:lpstr>36000</vt:lpstr>
      <vt:lpstr>Insurance</vt:lpstr>
      <vt:lpstr>INS PH 2 </vt:lpstr>
      <vt:lpstr>Note</vt:lpstr>
      <vt:lpstr>Variance</vt:lpstr>
      <vt:lpstr>Sheet2</vt:lpstr>
      <vt:lpstr>Tax PH2</vt:lpstr>
      <vt:lpstr>36100</vt:lpstr>
      <vt:lpstr>Tax </vt:lpstr>
      <vt:lpstr>INSURANCE </vt:lpstr>
      <vt:lpstr>Notes</vt:lpstr>
      <vt:lpstr>Cash Income</vt:lpstr>
      <vt:lpstr>IS</vt:lpstr>
      <vt:lpstr>CM Ledger</vt:lpstr>
      <vt:lpstr>Tenant Credits</vt:lpstr>
      <vt:lpstr>INCOME VAR</vt:lpstr>
      <vt:lpstr>'12410'!Print_Area</vt:lpstr>
      <vt:lpstr>'12410 '!Print_Area</vt:lpstr>
      <vt:lpstr>'13100'!Print_Area</vt:lpstr>
      <vt:lpstr>'13130'!Print_Area</vt:lpstr>
      <vt:lpstr>'20650'!Print_Area</vt:lpstr>
      <vt:lpstr>'20650 old'!Print_Area</vt:lpstr>
      <vt:lpstr>'20660'!Print_Area</vt:lpstr>
      <vt:lpstr>'Accr Ins'!Print_Area</vt:lpstr>
      <vt:lpstr>'All-Doubt'!Print_Area</vt:lpstr>
      <vt:lpstr>'Bad-D'!Print_Area</vt:lpstr>
      <vt:lpstr>'O-Asset'!Print_Area</vt:lpstr>
      <vt:lpstr>'O-Liabil'!Print_Area</vt:lpstr>
      <vt:lpstr>'Pet-cash'!Print_Area</vt:lpstr>
      <vt:lpstr>'PreP-Ins'!Print_Area</vt:lpstr>
      <vt:lpstr>'PreP-Other'!Print_Area</vt:lpstr>
      <vt:lpstr>Receiv!Print_Area</vt:lpstr>
      <vt:lpstr>'Sec-Dep'!Print_Area</vt:lpstr>
      <vt:lpstr>'TT-Costs'!Print_Area</vt:lpstr>
      <vt:lpstr>'Util-Dep'!Print_Area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Mohammad Aezaz Vora</dc:creator>
  <cp:keywords/>
  <dc:description/>
  <cp:lastModifiedBy>Kathy Kahrobai</cp:lastModifiedBy>
  <cp:revision/>
  <dcterms:created xsi:type="dcterms:W3CDTF">2024-09-05T13:47:33Z</dcterms:created>
  <dcterms:modified xsi:type="dcterms:W3CDTF">2026-08-13T16:50:54Z</dcterms:modified>
  <cp:category/>
  <cp:contentStatus/>
</cp:coreProperties>
</file>